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comments27.xml" ContentType="application/vnd.openxmlformats-officedocument.spreadsheetml.comments+xml"/>
  <Override PartName="/xl/worksheets/sheet28.xml" ContentType="application/vnd.openxmlformats-officedocument.spreadsheetml.worksheet+xml"/>
  <Override PartName="/xl/comments28.xml" ContentType="application/vnd.openxmlformats-officedocument.spreadsheetml.comments+xml"/>
  <Override PartName="/xl/worksheets/sheet29.xml" ContentType="application/vnd.openxmlformats-officedocument.spreadsheetml.worksheet+xml"/>
  <Override PartName="/xl/comments29.xml" ContentType="application/vnd.openxmlformats-officedocument.spreadsheetml.comments+xml"/>
  <Override PartName="/xl/worksheets/sheet30.xml" ContentType="application/vnd.openxmlformats-officedocument.spreadsheetml.worksheet+xml"/>
  <Override PartName="/xl/comments30.xml" ContentType="application/vnd.openxmlformats-officedocument.spreadsheetml.comments+xml"/>
  <Override PartName="/xl/worksheets/sheet31.xml" ContentType="application/vnd.openxmlformats-officedocument.spreadsheetml.worksheet+xml"/>
  <Override PartName="/xl/comments31.xml" ContentType="application/vnd.openxmlformats-officedocument.spreadsheetml.comments+xml"/>
  <Override PartName="/xl/worksheets/sheet32.xml" ContentType="application/vnd.openxmlformats-officedocument.spreadsheetml.worksheet+xml"/>
  <Override PartName="/xl/comments32.xml" ContentType="application/vnd.openxmlformats-officedocument.spreadsheetml.comments+xml"/>
  <Override PartName="/xl/worksheets/sheet33.xml" ContentType="application/vnd.openxmlformats-officedocument.spreadsheetml.worksheet+xml"/>
  <Override PartName="/xl/comments33.xml" ContentType="application/vnd.openxmlformats-officedocument.spreadsheetml.comments+xml"/>
  <Override PartName="/xl/worksheets/sheet34.xml" ContentType="application/vnd.openxmlformats-officedocument.spreadsheetml.worksheet+xml"/>
  <Override PartName="/xl/comments34.xml" ContentType="application/vnd.openxmlformats-officedocument.spreadsheetml.comments+xml"/>
  <Override PartName="/xl/worksheets/sheet35.xml" ContentType="application/vnd.openxmlformats-officedocument.spreadsheetml.worksheet+xml"/>
  <Override PartName="/xl/comments35.xml" ContentType="application/vnd.openxmlformats-officedocument.spreadsheetml.comments+xml"/>
  <Override PartName="/xl/worksheets/sheet36.xml" ContentType="application/vnd.openxmlformats-officedocument.spreadsheetml.worksheet+xml"/>
  <Override PartName="/xl/comments36.xml" ContentType="application/vnd.openxmlformats-officedocument.spreadsheetml.comments+xml"/>
  <Override PartName="/xl/worksheets/sheet37.xml" ContentType="application/vnd.openxmlformats-officedocument.spreadsheetml.worksheet+xml"/>
  <Override PartName="/xl/comments37.xml" ContentType="application/vnd.openxmlformats-officedocument.spreadsheetml.comments+xml"/>
  <Override PartName="/xl/worksheets/sheet38.xml" ContentType="application/vnd.openxmlformats-officedocument.spreadsheetml.worksheet+xml"/>
  <Override PartName="/xl/comments38.xml" ContentType="application/vnd.openxmlformats-officedocument.spreadsheetml.comments+xml"/>
  <Override PartName="/xl/worksheets/sheet39.xml" ContentType="application/vnd.openxmlformats-officedocument.spreadsheetml.worksheet+xml"/>
  <Override PartName="/xl/comments39.xml" ContentType="application/vnd.openxmlformats-officedocument.spreadsheetml.comments+xml"/>
  <Override PartName="/xl/worksheets/sheet40.xml" ContentType="application/vnd.openxmlformats-officedocument.spreadsheetml.worksheet+xml"/>
  <Override PartName="/xl/comments40.xml" ContentType="application/vnd.openxmlformats-officedocument.spreadsheetml.comments+xml"/>
  <Override PartName="/xl/worksheets/sheet41.xml" ContentType="application/vnd.openxmlformats-officedocument.spreadsheetml.worksheet+xml"/>
  <Override PartName="/xl/comments41.xml" ContentType="application/vnd.openxmlformats-officedocument.spreadsheetml.comments+xml"/>
  <Override PartName="/xl/worksheets/sheet42.xml" ContentType="application/vnd.openxmlformats-officedocument.spreadsheetml.worksheet+xml"/>
  <Override PartName="/xl/comments42.xml" ContentType="application/vnd.openxmlformats-officedocument.spreadsheetml.comments+xml"/>
  <Override PartName="/xl/worksheets/sheet43.xml" ContentType="application/vnd.openxmlformats-officedocument.spreadsheetml.worksheet+xml"/>
  <Override PartName="/xl/comments43.xml" ContentType="application/vnd.openxmlformats-officedocument.spreadsheetml.comments+xml"/>
  <Override PartName="/xl/worksheets/sheet44.xml" ContentType="application/vnd.openxmlformats-officedocument.spreadsheetml.worksheet+xml"/>
  <Override PartName="/xl/comments44.xml" ContentType="application/vnd.openxmlformats-officedocument.spreadsheetml.comments+xml"/>
  <Override PartName="/xl/worksheets/sheet45.xml" ContentType="application/vnd.openxmlformats-officedocument.spreadsheetml.worksheet+xml"/>
  <Override PartName="/xl/comments45.xml" ContentType="application/vnd.openxmlformats-officedocument.spreadsheetml.comments+xml"/>
  <Override PartName="/xl/worksheets/sheet46.xml" ContentType="application/vnd.openxmlformats-officedocument.spreadsheetml.worksheet+xml"/>
  <Override PartName="/xl/comments46.xml" ContentType="application/vnd.openxmlformats-officedocument.spreadsheetml.comments+xml"/>
  <Override PartName="/xl/worksheets/sheet47.xml" ContentType="application/vnd.openxmlformats-officedocument.spreadsheetml.worksheet+xml"/>
  <Override PartName="/xl/comments47.xml" ContentType="application/vnd.openxmlformats-officedocument.spreadsheetml.comments+xml"/>
  <Override PartName="/xl/worksheets/sheet48.xml" ContentType="application/vnd.openxmlformats-officedocument.spreadsheetml.worksheet+xml"/>
  <Override PartName="/xl/comments48.xml" ContentType="application/vnd.openxmlformats-officedocument.spreadsheetml.comments+xml"/>
  <Override PartName="/xl/worksheets/sheet49.xml" ContentType="application/vnd.openxmlformats-officedocument.spreadsheetml.worksheet+xml"/>
  <Override PartName="/xl/comments49.xml" ContentType="application/vnd.openxmlformats-officedocument.spreadsheetml.comments+xml"/>
  <Override PartName="/xl/worksheets/sheet50.xml" ContentType="application/vnd.openxmlformats-officedocument.spreadsheetml.worksheet+xml"/>
  <Override PartName="/xl/comments5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127"/>
  <workbookPr filterPrivacy="1"/>
  <bookViews>
    <workbookView xWindow="65446" yWindow="65446" windowWidth="19380" windowHeight="10380" tabRatio="821" firstSheet="4" activeTab="9"/>
  </bookViews>
  <sheets>
    <sheet name="Savings Potential" sheetId="64" r:id="rId1"/>
    <sheet name="Tripwire Summary" sheetId="56" r:id="rId2"/>
    <sheet name="Course Summary Sheet" sheetId="14" r:id="rId3"/>
    <sheet name="Degrees Granted" sheetId="63" r:id="rId4"/>
    <sheet name="Majors - UG" sheetId="61" r:id="rId5"/>
    <sheet name="Majors - Grad" sheetId="62" r:id="rId6"/>
    <sheet name="Tripwire" sheetId="55" r:id="rId7"/>
    <sheet name="Tripwire Detail" sheetId="60" r:id="rId8"/>
    <sheet name="Faculty Summary Sheet" sheetId="54" r:id="rId9"/>
    <sheet name="Accounting" sheetId="13" r:id="rId10"/>
    <sheet name="American Indian Studies" sheetId="15" r:id="rId11"/>
    <sheet name="Art" sheetId="16" r:id="rId12"/>
    <sheet name="Biology" sheetId="17" r:id="rId13"/>
    <sheet name="Chemistry" sheetId="18" r:id="rId14"/>
    <sheet name="Chicanx" sheetId="19" r:id="rId15"/>
    <sheet name="CDST" sheetId="20" r:id="rId16"/>
    <sheet name="CMST" sheetId="21" r:id="rId17"/>
    <sheet name="ComputerScience" sheetId="22" r:id="rId18"/>
    <sheet name="CreativeWriting" sheetId="23" r:id="rId19"/>
    <sheet name="Economics" sheetId="24" r:id="rId20"/>
    <sheet name="Education" sheetId="25" r:id="rId21"/>
    <sheet name="VCD" sheetId="26" r:id="rId22"/>
    <sheet name="ElectricalEng." sheetId="27" r:id="rId23"/>
    <sheet name="MechanicalEngTech" sheetId="28" r:id="rId24"/>
    <sheet name="Finance &amp; Marketing" sheetId="57" r:id="rId25"/>
    <sheet name="Film" sheetId="29" r:id="rId26"/>
    <sheet name="Theatre" sheetId="51" r:id="rId27"/>
    <sheet name="GEAN" sheetId="30" r:id="rId28"/>
    <sheet name="ANTR" sheetId="31" r:id="rId29"/>
    <sheet name="GEOG" sheetId="32" r:id="rId30"/>
    <sheet name="GIPAGraduate" sheetId="33" r:id="rId31"/>
    <sheet name="PLAN" sheetId="34" r:id="rId32"/>
    <sheet name="GEOL" sheetId="35" r:id="rId33"/>
    <sheet name="HealthServicesAdmin" sheetId="36" r:id="rId34"/>
    <sheet name="HIST" sheetId="37" r:id="rId35"/>
    <sheet name="InformationSystems" sheetId="38" r:id="rId36"/>
    <sheet name="Journalism" sheetId="39" r:id="rId37"/>
    <sheet name="Math" sheetId="40" r:id="rId38"/>
    <sheet name="Management" sheetId="41" r:id="rId39"/>
    <sheet name="MLL" sheetId="42" r:id="rId40"/>
    <sheet name="MLLOnly" sheetId="43" r:id="rId41"/>
    <sheet name="PHIL" sheetId="44" r:id="rId42"/>
    <sheet name="Music" sheetId="45" r:id="rId43"/>
    <sheet name="Physics" sheetId="46" r:id="rId44"/>
    <sheet name="POLIIAPADM" sheetId="47" r:id="rId45"/>
    <sheet name="PSYC" sheetId="48" r:id="rId46"/>
    <sheet name="Sociology" sheetId="49" r:id="rId47"/>
    <sheet name="TCOM" sheetId="50" r:id="rId48"/>
    <sheet name="WAMS" sheetId="52" r:id="rId49"/>
    <sheet name="WMST" sheetId="53" r:id="rId50"/>
  </sheets>
  <externalReferences>
    <externalReference r:id="rId53"/>
    <externalReference r:id="rId54"/>
  </externalReferences>
  <definedNames>
    <definedName name="_xlnm.Print_Area" localSheetId="9">'Accounting'!$A$1:$N$66</definedName>
    <definedName name="_xlnm.Print_Area" localSheetId="10">'American Indian Studies'!$A$1:$N$66</definedName>
    <definedName name="_xlnm.Print_Area" localSheetId="28">'ANTR'!$A$1:$N$66</definedName>
    <definedName name="_xlnm.Print_Area" localSheetId="11">'Art'!$A$1:$N$66</definedName>
    <definedName name="_xlnm.Print_Area" localSheetId="12">'Biology'!$A$1:$N$66</definedName>
    <definedName name="_xlnm.Print_Area" localSheetId="15">'CDST'!$A$1:$N$66</definedName>
    <definedName name="_xlnm.Print_Area" localSheetId="13">'Chemistry'!$A$1:$N$66</definedName>
    <definedName name="_xlnm.Print_Area" localSheetId="14">'Chicanx'!$A$1:$N$66</definedName>
    <definedName name="_xlnm.Print_Area" localSheetId="16">'CMST'!$A$1:$N$66</definedName>
    <definedName name="_xlnm.Print_Area" localSheetId="17">'ComputerScience'!$A$1:$N$66</definedName>
    <definedName name="_xlnm.Print_Area" localSheetId="18">'CreativeWriting'!$A$1:$N$65</definedName>
    <definedName name="_xlnm.Print_Area" localSheetId="19">'Economics'!$A$1:$N$66</definedName>
    <definedName name="_xlnm.Print_Area" localSheetId="20">'Education'!$A$1:$N$66</definedName>
    <definedName name="_xlnm.Print_Area" localSheetId="22">'ElectricalEng.'!$A$1:$N$66</definedName>
    <definedName name="_xlnm.Print_Area" localSheetId="25">'Film'!$A$1:$N$66</definedName>
    <definedName name="_xlnm.Print_Area" localSheetId="24">'Finance &amp; Marketing'!$A$1:$N$65</definedName>
    <definedName name="_xlnm.Print_Area" localSheetId="27">'GEAN'!$A$1:$N$66</definedName>
    <definedName name="_xlnm.Print_Area" localSheetId="29">'GEOG'!$A$1:$N$66</definedName>
    <definedName name="_xlnm.Print_Area" localSheetId="32">'GEOL'!$A$1:$N$66</definedName>
    <definedName name="_xlnm.Print_Area" localSheetId="30">'GIPAGraduate'!$A$1:$N$66</definedName>
    <definedName name="_xlnm.Print_Area" localSheetId="33">'HealthServicesAdmin'!$A$1:$N$66</definedName>
    <definedName name="_xlnm.Print_Area" localSheetId="34">'HIST'!$A$1:$N$66</definedName>
    <definedName name="_xlnm.Print_Area" localSheetId="35">'InformationSystems'!$A$1:$N$66</definedName>
    <definedName name="_xlnm.Print_Area" localSheetId="36">'Journalism'!$A$1:$N$66</definedName>
    <definedName name="_xlnm.Print_Area" localSheetId="38">'Management'!$A$1:$N$66</definedName>
    <definedName name="_xlnm.Print_Area" localSheetId="37">'Math'!$A$1:$N$66</definedName>
    <definedName name="_xlnm.Print_Area" localSheetId="23">'MechanicalEngTech'!$A$1:$N$66</definedName>
    <definedName name="_xlnm.Print_Area" localSheetId="39">'MLL'!$A$1:$N$66</definedName>
    <definedName name="_xlnm.Print_Area" localSheetId="40">'MLLOnly'!$A$1:$N$66</definedName>
    <definedName name="_xlnm.Print_Area" localSheetId="42">'Music'!$A$1:$N$66</definedName>
    <definedName name="_xlnm.Print_Area" localSheetId="41">'PHIL'!$A$1:$N$66</definedName>
    <definedName name="_xlnm.Print_Area" localSheetId="43">'Physics'!$A$1:$N$66</definedName>
    <definedName name="_xlnm.Print_Area" localSheetId="31">'PLAN'!$A$1:$N$66</definedName>
    <definedName name="_xlnm.Print_Area" localSheetId="44">'POLIIAPADM'!$A$1:$N$66</definedName>
    <definedName name="_xlnm.Print_Area" localSheetId="45">'PSYC'!$A$1:$N$66</definedName>
    <definedName name="_xlnm.Print_Area" localSheetId="0">'Savings Potential'!$A$60:$J$81</definedName>
    <definedName name="_xlnm.Print_Area" localSheetId="46">'Sociology'!$A$1:$N$66</definedName>
    <definedName name="_xlnm.Print_Area" localSheetId="47">'TCOM'!$A$1:$N$66</definedName>
    <definedName name="_xlnm.Print_Area" localSheetId="26">'Theatre'!$A$1:$N$66</definedName>
    <definedName name="_xlnm.Print_Area" localSheetId="1">'Tripwire Summary'!$A$1:$N$56</definedName>
    <definedName name="_xlnm.Print_Area" localSheetId="21">'VCD'!$A$1:$N$66</definedName>
    <definedName name="_xlnm.Print_Area" localSheetId="48">'WAMS'!$A$1:$N$66</definedName>
    <definedName name="_xlnm.Print_Area" localSheetId="49">'WMST'!$A$1:$N$66</definedName>
    <definedName name="_xlnm.Print_Titles" localSheetId="4">'Majors - UG'!$B:$C,'Majors - UG'!$6:$8</definedName>
    <definedName name="_xlnm.Print_Titles" localSheetId="5">'Majors - Grad'!$A:$B,'Majors - Grad'!$6:$8</definedName>
  </definedNames>
  <calcPr calcId="191029"/>
  <extLst/>
</workbook>
</file>

<file path=xl/comments10.xml><?xml version="1.0" encoding="utf-8"?>
<comments xmlns="http://schemas.openxmlformats.org/spreadsheetml/2006/main">
  <authors>
    <author>Author</author>
  </authors>
  <commentList>
    <comment ref="F33" authorId="0">
      <text>
        <r>
          <rPr>
            <b/>
            <sz val="9"/>
            <rFont val="Tahoma"/>
            <family val="2"/>
          </rPr>
          <t>Author:</t>
        </r>
        <r>
          <rPr>
            <sz val="9"/>
            <rFont val="Tahoma"/>
            <family val="2"/>
          </rPr>
          <t xml:space="preserve">
APS uses 30 for full-time instructional load</t>
        </r>
      </text>
    </comment>
    <comment ref="F38" authorId="0">
      <text>
        <r>
          <rPr>
            <b/>
            <sz val="9"/>
            <rFont val="Tahoma"/>
            <family val="2"/>
          </rPr>
          <t>Author:</t>
        </r>
        <r>
          <rPr>
            <sz val="9"/>
            <rFont val="Tahoma"/>
            <family val="2"/>
          </rPr>
          <t xml:space="preserve">
APS uses 30 for full-time instructional load</t>
        </r>
      </text>
    </comment>
    <comment ref="M47" authorId="0">
      <text>
        <r>
          <rPr>
            <b/>
            <sz val="9"/>
            <rFont val="Tahoma"/>
            <family val="2"/>
          </rPr>
          <t>Author:</t>
        </r>
        <r>
          <rPr>
            <sz val="9"/>
            <rFont val="Tahoma"/>
            <family val="2"/>
          </rPr>
          <t xml:space="preserve">
2 may have been added during the year per the "BPA position sheet"
</t>
        </r>
      </text>
    </comment>
    <comment ref="J48" authorId="0">
      <text>
        <r>
          <rPr>
            <b/>
            <sz val="9"/>
            <rFont val="Tahoma"/>
            <family val="2"/>
          </rPr>
          <t>Author:</t>
        </r>
        <r>
          <rPr>
            <sz val="9"/>
            <rFont val="Tahoma"/>
            <family val="2"/>
          </rPr>
          <t xml:space="preserve">
used PY Budget report </t>
        </r>
      </text>
    </comment>
    <comment ref="G54" authorId="0">
      <text>
        <r>
          <rPr>
            <b/>
            <sz val="9"/>
            <rFont val="Tahoma"/>
            <family val="2"/>
          </rPr>
          <t>Author:</t>
        </r>
        <r>
          <rPr>
            <sz val="9"/>
            <rFont val="Tahoma"/>
            <family val="2"/>
          </rPr>
          <t xml:space="preserve">
Note: Typically would exclude internship and D/S, I/S courses</t>
        </r>
      </text>
    </comment>
    <comment ref="J54" authorId="0">
      <text>
        <r>
          <rPr>
            <b/>
            <sz val="9"/>
            <rFont val="Tahoma"/>
            <family val="2"/>
          </rPr>
          <t>Author:</t>
        </r>
        <r>
          <rPr>
            <sz val="9"/>
            <rFont val="Tahoma"/>
            <family val="2"/>
          </rPr>
          <t xml:space="preserve">
Note: Typically would exclude internship and D/S, I/S courses</t>
        </r>
      </text>
    </comment>
    <comment ref="M54" authorId="0">
      <text>
        <r>
          <rPr>
            <b/>
            <sz val="9"/>
            <rFont val="Tahoma"/>
            <family val="2"/>
          </rPr>
          <t>Author:</t>
        </r>
        <r>
          <rPr>
            <sz val="9"/>
            <rFont val="Tahoma"/>
            <family val="2"/>
          </rPr>
          <t xml:space="preserve">
Note: Typically would exclude internship and D/S, I/S courses</t>
        </r>
      </text>
    </comment>
  </commentList>
</comments>
</file>

<file path=xl/comments11.xml><?xml version="1.0" encoding="utf-8"?>
<comments xmlns="http://schemas.openxmlformats.org/spreadsheetml/2006/main">
  <authors>
    <author>Author</author>
  </authors>
  <commentList>
    <comment ref="F33" authorId="0">
      <text>
        <r>
          <rPr>
            <b/>
            <sz val="9"/>
            <rFont val="Tahoma"/>
            <family val="2"/>
          </rPr>
          <t>Author:</t>
        </r>
        <r>
          <rPr>
            <sz val="9"/>
            <rFont val="Tahoma"/>
            <family val="2"/>
          </rPr>
          <t xml:space="preserve">
APS uses 30 for full-time instructional load</t>
        </r>
      </text>
    </comment>
    <comment ref="F38" authorId="0">
      <text>
        <r>
          <rPr>
            <b/>
            <sz val="9"/>
            <rFont val="Tahoma"/>
            <family val="2"/>
          </rPr>
          <t>Author:</t>
        </r>
        <r>
          <rPr>
            <sz val="9"/>
            <rFont val="Tahoma"/>
            <family val="2"/>
          </rPr>
          <t xml:space="preserve">
APS uses 30 for full-time instructional load</t>
        </r>
      </text>
    </comment>
    <comment ref="G54" authorId="0">
      <text>
        <r>
          <rPr>
            <b/>
            <sz val="9"/>
            <rFont val="Tahoma"/>
            <family val="2"/>
          </rPr>
          <t>Author:</t>
        </r>
        <r>
          <rPr>
            <sz val="9"/>
            <rFont val="Tahoma"/>
            <family val="2"/>
          </rPr>
          <t xml:space="preserve">
Note: Typically would exclude internship and D/S, I/S courses</t>
        </r>
      </text>
    </comment>
    <comment ref="J54" authorId="0">
      <text>
        <r>
          <rPr>
            <b/>
            <sz val="9"/>
            <rFont val="Tahoma"/>
            <family val="2"/>
          </rPr>
          <t>Author:</t>
        </r>
        <r>
          <rPr>
            <sz val="9"/>
            <rFont val="Tahoma"/>
            <family val="2"/>
          </rPr>
          <t xml:space="preserve">
Note: Typically would exclude internship and D/S, I/S courses</t>
        </r>
      </text>
    </comment>
    <comment ref="M54" authorId="0">
      <text>
        <r>
          <rPr>
            <b/>
            <sz val="9"/>
            <rFont val="Tahoma"/>
            <family val="2"/>
          </rPr>
          <t>Author:</t>
        </r>
        <r>
          <rPr>
            <sz val="9"/>
            <rFont val="Tahoma"/>
            <family val="2"/>
          </rPr>
          <t xml:space="preserve">
Note: Typically would exclude internship and D/S, I/S courses</t>
        </r>
      </text>
    </comment>
  </commentList>
</comments>
</file>

<file path=xl/comments12.xml><?xml version="1.0" encoding="utf-8"?>
<comments xmlns="http://schemas.openxmlformats.org/spreadsheetml/2006/main">
  <authors>
    <author>Author</author>
  </authors>
  <commentList>
    <comment ref="F33" authorId="0">
      <text>
        <r>
          <rPr>
            <b/>
            <sz val="9"/>
            <rFont val="Tahoma"/>
            <family val="2"/>
          </rPr>
          <t>Author:</t>
        </r>
        <r>
          <rPr>
            <sz val="9"/>
            <rFont val="Tahoma"/>
            <family val="2"/>
          </rPr>
          <t xml:space="preserve">
APS uses 30 for full-time instructional load</t>
        </r>
      </text>
    </comment>
    <comment ref="F38" authorId="0">
      <text>
        <r>
          <rPr>
            <b/>
            <sz val="9"/>
            <rFont val="Tahoma"/>
            <family val="2"/>
          </rPr>
          <t>Author:</t>
        </r>
        <r>
          <rPr>
            <sz val="9"/>
            <rFont val="Tahoma"/>
            <family val="2"/>
          </rPr>
          <t xml:space="preserve">
APS uses 30 for full-time instructional load</t>
        </r>
      </text>
    </comment>
    <comment ref="G54" authorId="0">
      <text>
        <r>
          <rPr>
            <b/>
            <sz val="9"/>
            <rFont val="Tahoma"/>
            <family val="2"/>
          </rPr>
          <t>Author:</t>
        </r>
        <r>
          <rPr>
            <sz val="9"/>
            <rFont val="Tahoma"/>
            <family val="2"/>
          </rPr>
          <t xml:space="preserve">
Note: Typically would exclude internship and D/S, I/S courses</t>
        </r>
      </text>
    </comment>
    <comment ref="J54" authorId="0">
      <text>
        <r>
          <rPr>
            <b/>
            <sz val="9"/>
            <rFont val="Tahoma"/>
            <family val="2"/>
          </rPr>
          <t>Author:</t>
        </r>
        <r>
          <rPr>
            <sz val="9"/>
            <rFont val="Tahoma"/>
            <family val="2"/>
          </rPr>
          <t xml:space="preserve">
Note: Typically would exclude internship and D/S, I/S courses</t>
        </r>
      </text>
    </comment>
    <comment ref="M54" authorId="0">
      <text>
        <r>
          <rPr>
            <b/>
            <sz val="9"/>
            <rFont val="Tahoma"/>
            <family val="2"/>
          </rPr>
          <t>Author:</t>
        </r>
        <r>
          <rPr>
            <sz val="9"/>
            <rFont val="Tahoma"/>
            <family val="2"/>
          </rPr>
          <t xml:space="preserve">
Note: Typically would exclude internship and D/S, I/S courses</t>
        </r>
      </text>
    </comment>
  </commentList>
</comments>
</file>

<file path=xl/comments13.xml><?xml version="1.0" encoding="utf-8"?>
<comments xmlns="http://schemas.openxmlformats.org/spreadsheetml/2006/main">
  <authors>
    <author>Author</author>
  </authors>
  <commentList>
    <comment ref="F33" authorId="0">
      <text>
        <r>
          <rPr>
            <b/>
            <sz val="9"/>
            <rFont val="Tahoma"/>
            <family val="2"/>
          </rPr>
          <t>Author:</t>
        </r>
        <r>
          <rPr>
            <sz val="9"/>
            <rFont val="Tahoma"/>
            <family val="2"/>
          </rPr>
          <t xml:space="preserve">
APS uses 30 for full-time instructional load</t>
        </r>
      </text>
    </comment>
    <comment ref="F38" authorId="0">
      <text>
        <r>
          <rPr>
            <b/>
            <sz val="9"/>
            <rFont val="Tahoma"/>
            <family val="2"/>
          </rPr>
          <t>Author:</t>
        </r>
        <r>
          <rPr>
            <sz val="9"/>
            <rFont val="Tahoma"/>
            <family val="2"/>
          </rPr>
          <t xml:space="preserve">
APS uses 30 for full-time instructional load</t>
        </r>
      </text>
    </comment>
    <comment ref="M47" authorId="0">
      <text>
        <r>
          <rPr>
            <b/>
            <sz val="9"/>
            <rFont val="Tahoma"/>
            <family val="2"/>
          </rPr>
          <t>Author:</t>
        </r>
        <r>
          <rPr>
            <sz val="9"/>
            <rFont val="Tahoma"/>
            <family val="2"/>
          </rPr>
          <t xml:space="preserve">
2 may have been added during the year per the "BPA position sheet"
</t>
        </r>
      </text>
    </comment>
    <comment ref="J48" authorId="0">
      <text>
        <r>
          <rPr>
            <b/>
            <sz val="9"/>
            <rFont val="Tahoma"/>
            <family val="2"/>
          </rPr>
          <t>Author:</t>
        </r>
        <r>
          <rPr>
            <sz val="9"/>
            <rFont val="Tahoma"/>
            <family val="2"/>
          </rPr>
          <t xml:space="preserve">
used PY Budget report </t>
        </r>
      </text>
    </comment>
    <comment ref="G54" authorId="0">
      <text>
        <r>
          <rPr>
            <b/>
            <sz val="9"/>
            <rFont val="Tahoma"/>
            <family val="2"/>
          </rPr>
          <t>Author:</t>
        </r>
        <r>
          <rPr>
            <sz val="9"/>
            <rFont val="Tahoma"/>
            <family val="2"/>
          </rPr>
          <t xml:space="preserve">
Note: Typically would exclude internship and D/S, I/S courses</t>
        </r>
      </text>
    </comment>
    <comment ref="J54" authorId="0">
      <text>
        <r>
          <rPr>
            <b/>
            <sz val="9"/>
            <rFont val="Tahoma"/>
            <family val="2"/>
          </rPr>
          <t>Author:</t>
        </r>
        <r>
          <rPr>
            <sz val="9"/>
            <rFont val="Tahoma"/>
            <family val="2"/>
          </rPr>
          <t xml:space="preserve">
Note: Typically would exclude internship and D/S, I/S courses</t>
        </r>
      </text>
    </comment>
    <comment ref="M54" authorId="0">
      <text>
        <r>
          <rPr>
            <b/>
            <sz val="9"/>
            <rFont val="Tahoma"/>
            <family val="2"/>
          </rPr>
          <t>Author:</t>
        </r>
        <r>
          <rPr>
            <sz val="9"/>
            <rFont val="Tahoma"/>
            <family val="2"/>
          </rPr>
          <t xml:space="preserve">
Note: Typically would exclude internship and D/S, I/S courses</t>
        </r>
      </text>
    </comment>
  </commentList>
</comments>
</file>

<file path=xl/comments14.xml><?xml version="1.0" encoding="utf-8"?>
<comments xmlns="http://schemas.openxmlformats.org/spreadsheetml/2006/main">
  <authors>
    <author>Author</author>
  </authors>
  <commentList>
    <comment ref="F33" authorId="0">
      <text>
        <r>
          <rPr>
            <b/>
            <sz val="9"/>
            <rFont val="Tahoma"/>
            <family val="2"/>
          </rPr>
          <t>Author:</t>
        </r>
        <r>
          <rPr>
            <sz val="9"/>
            <rFont val="Tahoma"/>
            <family val="2"/>
          </rPr>
          <t xml:space="preserve">
APS uses 30 for full-time instructional load</t>
        </r>
      </text>
    </comment>
    <comment ref="F38" authorId="0">
      <text>
        <r>
          <rPr>
            <b/>
            <sz val="9"/>
            <rFont val="Tahoma"/>
            <family val="2"/>
          </rPr>
          <t>Author:</t>
        </r>
        <r>
          <rPr>
            <sz val="9"/>
            <rFont val="Tahoma"/>
            <family val="2"/>
          </rPr>
          <t xml:space="preserve">
APS uses 30 for full-time instructional load</t>
        </r>
      </text>
    </comment>
    <comment ref="G54" authorId="0">
      <text>
        <r>
          <rPr>
            <b/>
            <sz val="9"/>
            <rFont val="Tahoma"/>
            <family val="2"/>
          </rPr>
          <t>Author:</t>
        </r>
        <r>
          <rPr>
            <sz val="9"/>
            <rFont val="Tahoma"/>
            <family val="2"/>
          </rPr>
          <t xml:space="preserve">
Note: Typically would exclude internship and D/S, I/S courses</t>
        </r>
      </text>
    </comment>
    <comment ref="J54" authorId="0">
      <text>
        <r>
          <rPr>
            <b/>
            <sz val="9"/>
            <rFont val="Tahoma"/>
            <family val="2"/>
          </rPr>
          <t>Author:</t>
        </r>
        <r>
          <rPr>
            <sz val="9"/>
            <rFont val="Tahoma"/>
            <family val="2"/>
          </rPr>
          <t xml:space="preserve">
Note: Typically would exclude internship and D/S, I/S courses</t>
        </r>
      </text>
    </comment>
    <comment ref="M54" authorId="0">
      <text>
        <r>
          <rPr>
            <b/>
            <sz val="9"/>
            <rFont val="Tahoma"/>
            <family val="2"/>
          </rPr>
          <t>Author:</t>
        </r>
        <r>
          <rPr>
            <sz val="9"/>
            <rFont val="Tahoma"/>
            <family val="2"/>
          </rPr>
          <t xml:space="preserve">
Note: Typically would exclude internship and D/S, I/S courses</t>
        </r>
      </text>
    </comment>
  </commentList>
</comments>
</file>

<file path=xl/comments15.xml><?xml version="1.0" encoding="utf-8"?>
<comments xmlns="http://schemas.openxmlformats.org/spreadsheetml/2006/main">
  <authors>
    <author>Author</author>
  </authors>
  <commentList>
    <comment ref="F33" authorId="0">
      <text>
        <r>
          <rPr>
            <b/>
            <sz val="9"/>
            <rFont val="Tahoma"/>
            <family val="2"/>
          </rPr>
          <t>Author:</t>
        </r>
        <r>
          <rPr>
            <sz val="9"/>
            <rFont val="Tahoma"/>
            <family val="2"/>
          </rPr>
          <t xml:space="preserve">
APS uses 30 for full-time instructional load</t>
        </r>
      </text>
    </comment>
    <comment ref="F38" authorId="0">
      <text>
        <r>
          <rPr>
            <b/>
            <sz val="9"/>
            <rFont val="Tahoma"/>
            <family val="2"/>
          </rPr>
          <t>Author:</t>
        </r>
        <r>
          <rPr>
            <sz val="9"/>
            <rFont val="Tahoma"/>
            <family val="2"/>
          </rPr>
          <t xml:space="preserve">
APS uses 30 for full-time instructional load</t>
        </r>
      </text>
    </comment>
    <comment ref="G54" authorId="0">
      <text>
        <r>
          <rPr>
            <b/>
            <sz val="9"/>
            <rFont val="Tahoma"/>
            <family val="2"/>
          </rPr>
          <t>Author:</t>
        </r>
        <r>
          <rPr>
            <sz val="9"/>
            <rFont val="Tahoma"/>
            <family val="2"/>
          </rPr>
          <t xml:space="preserve">
Note: Typically would exclude internship and D/S, I/S courses</t>
        </r>
      </text>
    </comment>
    <comment ref="J54" authorId="0">
      <text>
        <r>
          <rPr>
            <b/>
            <sz val="9"/>
            <rFont val="Tahoma"/>
            <family val="2"/>
          </rPr>
          <t>Author:</t>
        </r>
        <r>
          <rPr>
            <sz val="9"/>
            <rFont val="Tahoma"/>
            <family val="2"/>
          </rPr>
          <t xml:space="preserve">
Note: Typically would exclude internship and D/S, I/S courses</t>
        </r>
      </text>
    </comment>
    <comment ref="M54" authorId="0">
      <text>
        <r>
          <rPr>
            <b/>
            <sz val="9"/>
            <rFont val="Tahoma"/>
            <family val="2"/>
          </rPr>
          <t>Author:</t>
        </r>
        <r>
          <rPr>
            <sz val="9"/>
            <rFont val="Tahoma"/>
            <family val="2"/>
          </rPr>
          <t xml:space="preserve">
Note: Typically would exclude internship and D/S, I/S courses</t>
        </r>
      </text>
    </comment>
  </commentList>
</comments>
</file>

<file path=xl/comments16.xml><?xml version="1.0" encoding="utf-8"?>
<comments xmlns="http://schemas.openxmlformats.org/spreadsheetml/2006/main">
  <authors>
    <author>Author</author>
  </authors>
  <commentList>
    <comment ref="F33" authorId="0">
      <text>
        <r>
          <rPr>
            <b/>
            <sz val="9"/>
            <rFont val="Tahoma"/>
            <family val="2"/>
          </rPr>
          <t>Author:</t>
        </r>
        <r>
          <rPr>
            <sz val="9"/>
            <rFont val="Tahoma"/>
            <family val="2"/>
          </rPr>
          <t xml:space="preserve">
APS uses 30 for full-time instructional load</t>
        </r>
      </text>
    </comment>
    <comment ref="F38" authorId="0">
      <text>
        <r>
          <rPr>
            <b/>
            <sz val="9"/>
            <rFont val="Tahoma"/>
            <family val="2"/>
          </rPr>
          <t>Author:</t>
        </r>
        <r>
          <rPr>
            <sz val="9"/>
            <rFont val="Tahoma"/>
            <family val="2"/>
          </rPr>
          <t xml:space="preserve">
APS uses 30 for full-time instructional load</t>
        </r>
      </text>
    </comment>
    <comment ref="G54" authorId="0">
      <text>
        <r>
          <rPr>
            <b/>
            <sz val="9"/>
            <rFont val="Tahoma"/>
            <family val="2"/>
          </rPr>
          <t>Author:</t>
        </r>
        <r>
          <rPr>
            <sz val="9"/>
            <rFont val="Tahoma"/>
            <family val="2"/>
          </rPr>
          <t xml:space="preserve">
Note: Typically would exclude internship and D/S, I/S courses</t>
        </r>
      </text>
    </comment>
    <comment ref="J54" authorId="0">
      <text>
        <r>
          <rPr>
            <b/>
            <sz val="9"/>
            <rFont val="Tahoma"/>
            <family val="2"/>
          </rPr>
          <t>Author:</t>
        </r>
        <r>
          <rPr>
            <sz val="9"/>
            <rFont val="Tahoma"/>
            <family val="2"/>
          </rPr>
          <t xml:space="preserve">
Note: Typically would exclude internship and D/S, I/S courses</t>
        </r>
      </text>
    </comment>
    <comment ref="M54" authorId="0">
      <text>
        <r>
          <rPr>
            <b/>
            <sz val="9"/>
            <rFont val="Tahoma"/>
            <family val="2"/>
          </rPr>
          <t>Author:</t>
        </r>
        <r>
          <rPr>
            <sz val="9"/>
            <rFont val="Tahoma"/>
            <family val="2"/>
          </rPr>
          <t xml:space="preserve">
Note: Typically would exclude internship and D/S, I/S courses</t>
        </r>
      </text>
    </comment>
  </commentList>
</comments>
</file>

<file path=xl/comments17.xml><?xml version="1.0" encoding="utf-8"?>
<comments xmlns="http://schemas.openxmlformats.org/spreadsheetml/2006/main">
  <authors>
    <author>Author</author>
  </authors>
  <commentList>
    <comment ref="F33" authorId="0">
      <text>
        <r>
          <rPr>
            <b/>
            <sz val="9"/>
            <rFont val="Tahoma"/>
            <family val="2"/>
          </rPr>
          <t>Author:</t>
        </r>
        <r>
          <rPr>
            <sz val="9"/>
            <rFont val="Tahoma"/>
            <family val="2"/>
          </rPr>
          <t xml:space="preserve">
APS uses 30 for full-time instructional load</t>
        </r>
      </text>
    </comment>
    <comment ref="F38" authorId="0">
      <text>
        <r>
          <rPr>
            <b/>
            <sz val="9"/>
            <rFont val="Tahoma"/>
            <family val="2"/>
          </rPr>
          <t>Author:</t>
        </r>
        <r>
          <rPr>
            <sz val="9"/>
            <rFont val="Tahoma"/>
            <family val="2"/>
          </rPr>
          <t xml:space="preserve">
APS uses 30 for full-time instructional load</t>
        </r>
      </text>
    </comment>
    <comment ref="G54" authorId="0">
      <text>
        <r>
          <rPr>
            <b/>
            <sz val="9"/>
            <rFont val="Tahoma"/>
            <family val="2"/>
          </rPr>
          <t>Author:</t>
        </r>
        <r>
          <rPr>
            <sz val="9"/>
            <rFont val="Tahoma"/>
            <family val="2"/>
          </rPr>
          <t xml:space="preserve">
Note: Typically would exclude internship and D/S, I/S courses</t>
        </r>
      </text>
    </comment>
    <comment ref="J54" authorId="0">
      <text>
        <r>
          <rPr>
            <b/>
            <sz val="9"/>
            <rFont val="Tahoma"/>
            <family val="2"/>
          </rPr>
          <t>Author:</t>
        </r>
        <r>
          <rPr>
            <sz val="9"/>
            <rFont val="Tahoma"/>
            <family val="2"/>
          </rPr>
          <t xml:space="preserve">
Note: Typically would exclude internship and D/S, I/S courses</t>
        </r>
      </text>
    </comment>
    <comment ref="M54" authorId="0">
      <text>
        <r>
          <rPr>
            <b/>
            <sz val="9"/>
            <rFont val="Tahoma"/>
            <family val="2"/>
          </rPr>
          <t>Author:</t>
        </r>
        <r>
          <rPr>
            <sz val="9"/>
            <rFont val="Tahoma"/>
            <family val="2"/>
          </rPr>
          <t xml:space="preserve">
Note: Typically would exclude internship and D/S, I/S courses</t>
        </r>
      </text>
    </comment>
  </commentList>
</comments>
</file>

<file path=xl/comments18.xml><?xml version="1.0" encoding="utf-8"?>
<comments xmlns="http://schemas.openxmlformats.org/spreadsheetml/2006/main">
  <authors>
    <author>Author</author>
  </authors>
  <commentList>
    <comment ref="F33" authorId="0">
      <text>
        <r>
          <rPr>
            <b/>
            <sz val="9"/>
            <rFont val="Tahoma"/>
            <family val="2"/>
          </rPr>
          <t>Author:</t>
        </r>
        <r>
          <rPr>
            <sz val="9"/>
            <rFont val="Tahoma"/>
            <family val="2"/>
          </rPr>
          <t xml:space="preserve">
APS uses 30 for full-time instructional load</t>
        </r>
      </text>
    </comment>
    <comment ref="F38" authorId="0">
      <text>
        <r>
          <rPr>
            <b/>
            <sz val="9"/>
            <rFont val="Tahoma"/>
            <family val="2"/>
          </rPr>
          <t>Author:</t>
        </r>
        <r>
          <rPr>
            <sz val="9"/>
            <rFont val="Tahoma"/>
            <family val="2"/>
          </rPr>
          <t xml:space="preserve">
APS uses 30 for full-time instructional load</t>
        </r>
      </text>
    </comment>
    <comment ref="M47" authorId="0">
      <text>
        <r>
          <rPr>
            <b/>
            <sz val="9"/>
            <rFont val="Tahoma"/>
            <family val="2"/>
          </rPr>
          <t>Author:</t>
        </r>
        <r>
          <rPr>
            <sz val="9"/>
            <rFont val="Tahoma"/>
            <family val="2"/>
          </rPr>
          <t xml:space="preserve">
2 may have been added during the year per the "BPA position sheet"
</t>
        </r>
      </text>
    </comment>
    <comment ref="J48" authorId="0">
      <text>
        <r>
          <rPr>
            <b/>
            <sz val="9"/>
            <rFont val="Tahoma"/>
            <family val="2"/>
          </rPr>
          <t>Author:</t>
        </r>
        <r>
          <rPr>
            <sz val="9"/>
            <rFont val="Tahoma"/>
            <family val="2"/>
          </rPr>
          <t xml:space="preserve">
used PY Budget report </t>
        </r>
      </text>
    </comment>
    <comment ref="G54" authorId="0">
      <text>
        <r>
          <rPr>
            <b/>
            <sz val="9"/>
            <rFont val="Tahoma"/>
            <family val="2"/>
          </rPr>
          <t>Author:</t>
        </r>
        <r>
          <rPr>
            <sz val="9"/>
            <rFont val="Tahoma"/>
            <family val="2"/>
          </rPr>
          <t xml:space="preserve">
Note: Typically would exclude internship and D/S, I/S courses</t>
        </r>
      </text>
    </comment>
    <comment ref="J54" authorId="0">
      <text>
        <r>
          <rPr>
            <b/>
            <sz val="9"/>
            <rFont val="Tahoma"/>
            <family val="2"/>
          </rPr>
          <t>Author:</t>
        </r>
        <r>
          <rPr>
            <sz val="9"/>
            <rFont val="Tahoma"/>
            <family val="2"/>
          </rPr>
          <t xml:space="preserve">
Note: Typically would exclude internship and D/S, I/S courses</t>
        </r>
      </text>
    </comment>
    <comment ref="M54" authorId="0">
      <text>
        <r>
          <rPr>
            <b/>
            <sz val="9"/>
            <rFont val="Tahoma"/>
            <family val="2"/>
          </rPr>
          <t>Author:</t>
        </r>
        <r>
          <rPr>
            <sz val="9"/>
            <rFont val="Tahoma"/>
            <family val="2"/>
          </rPr>
          <t xml:space="preserve">
Note: Typically would exclude internship and D/S, I/S courses</t>
        </r>
      </text>
    </comment>
  </commentList>
</comments>
</file>

<file path=xl/comments19.xml><?xml version="1.0" encoding="utf-8"?>
<comments xmlns="http://schemas.openxmlformats.org/spreadsheetml/2006/main">
  <authors>
    <author>Author</author>
  </authors>
  <commentList>
    <comment ref="G21" authorId="0">
      <text>
        <r>
          <rPr>
            <b/>
            <sz val="9"/>
            <rFont val="Tahoma"/>
            <family val="2"/>
          </rPr>
          <t>Author:</t>
        </r>
        <r>
          <rPr>
            <sz val="9"/>
            <rFont val="Tahoma"/>
            <family val="2"/>
          </rPr>
          <t xml:space="preserve">
No information on programs tab, piecing together from other sources
</t>
        </r>
      </text>
    </comment>
    <comment ref="F33" authorId="0">
      <text>
        <r>
          <rPr>
            <b/>
            <sz val="9"/>
            <rFont val="Tahoma"/>
            <family val="2"/>
          </rPr>
          <t>Author:</t>
        </r>
        <r>
          <rPr>
            <sz val="9"/>
            <rFont val="Tahoma"/>
            <family val="2"/>
          </rPr>
          <t xml:space="preserve">
APS uses 30 for full-time instructional load</t>
        </r>
      </text>
    </comment>
    <comment ref="F38" authorId="0">
      <text>
        <r>
          <rPr>
            <b/>
            <sz val="9"/>
            <rFont val="Tahoma"/>
            <family val="2"/>
          </rPr>
          <t>Author:</t>
        </r>
        <r>
          <rPr>
            <sz val="9"/>
            <rFont val="Tahoma"/>
            <family val="2"/>
          </rPr>
          <t xml:space="preserve">
APS uses 30 for full-time instructional load</t>
        </r>
      </text>
    </comment>
    <comment ref="M45" authorId="0">
      <text>
        <r>
          <rPr>
            <b/>
            <sz val="9"/>
            <rFont val="Tahoma"/>
            <family val="2"/>
          </rPr>
          <t>Author:</t>
        </r>
        <r>
          <rPr>
            <sz val="9"/>
            <rFont val="Tahoma"/>
            <family val="2"/>
          </rPr>
          <t xml:space="preserve">
copied from 2017 numbers
</t>
        </r>
      </text>
    </comment>
    <comment ref="G53" authorId="0">
      <text>
        <r>
          <rPr>
            <b/>
            <sz val="9"/>
            <rFont val="Tahoma"/>
            <family val="2"/>
          </rPr>
          <t>Author:</t>
        </r>
        <r>
          <rPr>
            <sz val="9"/>
            <rFont val="Tahoma"/>
            <family val="2"/>
          </rPr>
          <t xml:space="preserve">
Note: Typically would exclude internship and D/S, I/S courses</t>
        </r>
      </text>
    </comment>
    <comment ref="J53" authorId="0">
      <text>
        <r>
          <rPr>
            <b/>
            <sz val="9"/>
            <rFont val="Tahoma"/>
            <family val="2"/>
          </rPr>
          <t>Author:</t>
        </r>
        <r>
          <rPr>
            <sz val="9"/>
            <rFont val="Tahoma"/>
            <family val="2"/>
          </rPr>
          <t xml:space="preserve">
Note: Typically would exclude internship and D/S, I/S courses</t>
        </r>
      </text>
    </comment>
    <comment ref="M53" authorId="0">
      <text>
        <r>
          <rPr>
            <b/>
            <sz val="9"/>
            <rFont val="Tahoma"/>
            <family val="2"/>
          </rPr>
          <t>Author:</t>
        </r>
        <r>
          <rPr>
            <sz val="9"/>
            <rFont val="Tahoma"/>
            <family val="2"/>
          </rPr>
          <t xml:space="preserve">
Note: Typically would exclude internship and D/S, I/S courses</t>
        </r>
      </text>
    </comment>
  </commentList>
</comments>
</file>

<file path=xl/comments20.xml><?xml version="1.0" encoding="utf-8"?>
<comments xmlns="http://schemas.openxmlformats.org/spreadsheetml/2006/main">
  <authors>
    <author>Author</author>
  </authors>
  <commentList>
    <comment ref="F33" authorId="0">
      <text>
        <r>
          <rPr>
            <b/>
            <sz val="9"/>
            <rFont val="Tahoma"/>
            <family val="2"/>
          </rPr>
          <t>Author:</t>
        </r>
        <r>
          <rPr>
            <sz val="9"/>
            <rFont val="Tahoma"/>
            <family val="2"/>
          </rPr>
          <t xml:space="preserve">
APS uses 30 for full-time instructional load</t>
        </r>
      </text>
    </comment>
    <comment ref="F38" authorId="0">
      <text>
        <r>
          <rPr>
            <b/>
            <sz val="9"/>
            <rFont val="Tahoma"/>
            <family val="2"/>
          </rPr>
          <t>Author:</t>
        </r>
        <r>
          <rPr>
            <sz val="9"/>
            <rFont val="Tahoma"/>
            <family val="2"/>
          </rPr>
          <t xml:space="preserve">
APS uses 30 for full-time instructional load</t>
        </r>
      </text>
    </comment>
    <comment ref="G54" authorId="0">
      <text>
        <r>
          <rPr>
            <b/>
            <sz val="9"/>
            <rFont val="Tahoma"/>
            <family val="2"/>
          </rPr>
          <t>Author:</t>
        </r>
        <r>
          <rPr>
            <sz val="9"/>
            <rFont val="Tahoma"/>
            <family val="2"/>
          </rPr>
          <t xml:space="preserve">
Note: Typically would exclude internship and D/S, I/S courses</t>
        </r>
      </text>
    </comment>
    <comment ref="J54" authorId="0">
      <text>
        <r>
          <rPr>
            <b/>
            <sz val="9"/>
            <rFont val="Tahoma"/>
            <family val="2"/>
          </rPr>
          <t>Author:</t>
        </r>
        <r>
          <rPr>
            <sz val="9"/>
            <rFont val="Tahoma"/>
            <family val="2"/>
          </rPr>
          <t xml:space="preserve">
Note: Typically would exclude internship and D/S, I/S courses</t>
        </r>
      </text>
    </comment>
    <comment ref="M54" authorId="0">
      <text>
        <r>
          <rPr>
            <b/>
            <sz val="9"/>
            <rFont val="Tahoma"/>
            <family val="2"/>
          </rPr>
          <t>Author:</t>
        </r>
        <r>
          <rPr>
            <sz val="9"/>
            <rFont val="Tahoma"/>
            <family val="2"/>
          </rPr>
          <t xml:space="preserve">
Note: Typically would exclude internship and D/S, I/S courses</t>
        </r>
      </text>
    </comment>
  </commentList>
</comments>
</file>

<file path=xl/comments21.xml><?xml version="1.0" encoding="utf-8"?>
<comments xmlns="http://schemas.openxmlformats.org/spreadsheetml/2006/main">
  <authors>
    <author>Author</author>
  </authors>
  <commentList>
    <comment ref="F33" authorId="0">
      <text>
        <r>
          <rPr>
            <b/>
            <sz val="9"/>
            <rFont val="Tahoma"/>
            <family val="2"/>
          </rPr>
          <t>Author:</t>
        </r>
        <r>
          <rPr>
            <sz val="9"/>
            <rFont val="Tahoma"/>
            <family val="2"/>
          </rPr>
          <t xml:space="preserve">
APS uses 30 for full-time instructional load</t>
        </r>
      </text>
    </comment>
    <comment ref="F38" authorId="0">
      <text>
        <r>
          <rPr>
            <b/>
            <sz val="9"/>
            <rFont val="Tahoma"/>
            <family val="2"/>
          </rPr>
          <t>Author:</t>
        </r>
        <r>
          <rPr>
            <sz val="9"/>
            <rFont val="Tahoma"/>
            <family val="2"/>
          </rPr>
          <t xml:space="preserve">
APS uses 30 for full-time instructional load</t>
        </r>
      </text>
    </comment>
    <comment ref="M47" authorId="0">
      <text>
        <r>
          <rPr>
            <b/>
            <sz val="9"/>
            <rFont val="Tahoma"/>
            <family val="2"/>
          </rPr>
          <t>Author:</t>
        </r>
        <r>
          <rPr>
            <sz val="9"/>
            <rFont val="Tahoma"/>
            <family val="2"/>
          </rPr>
          <t xml:space="preserve">
2 may have been added during the year per the "BPA position sheet"
</t>
        </r>
      </text>
    </comment>
    <comment ref="J48" authorId="0">
      <text>
        <r>
          <rPr>
            <b/>
            <sz val="9"/>
            <rFont val="Tahoma"/>
            <family val="2"/>
          </rPr>
          <t>Author:</t>
        </r>
        <r>
          <rPr>
            <sz val="9"/>
            <rFont val="Tahoma"/>
            <family val="2"/>
          </rPr>
          <t xml:space="preserve">
used PY Budget report </t>
        </r>
      </text>
    </comment>
    <comment ref="G54" authorId="0">
      <text>
        <r>
          <rPr>
            <b/>
            <sz val="9"/>
            <rFont val="Tahoma"/>
            <family val="2"/>
          </rPr>
          <t>Author:</t>
        </r>
        <r>
          <rPr>
            <sz val="9"/>
            <rFont val="Tahoma"/>
            <family val="2"/>
          </rPr>
          <t xml:space="preserve">
Note: Typically would exclude internship and D/S, I/S courses</t>
        </r>
      </text>
    </comment>
    <comment ref="J54" authorId="0">
      <text>
        <r>
          <rPr>
            <b/>
            <sz val="9"/>
            <rFont val="Tahoma"/>
            <family val="2"/>
          </rPr>
          <t>Author:</t>
        </r>
        <r>
          <rPr>
            <sz val="9"/>
            <rFont val="Tahoma"/>
            <family val="2"/>
          </rPr>
          <t xml:space="preserve">
Note: Typically would exclude internship and D/S, I/S courses</t>
        </r>
      </text>
    </comment>
    <comment ref="M54" authorId="0">
      <text>
        <r>
          <rPr>
            <b/>
            <sz val="9"/>
            <rFont val="Tahoma"/>
            <family val="2"/>
          </rPr>
          <t>Author:</t>
        </r>
        <r>
          <rPr>
            <sz val="9"/>
            <rFont val="Tahoma"/>
            <family val="2"/>
          </rPr>
          <t xml:space="preserve">
Note: Typically would exclude internship and D/S, I/S courses</t>
        </r>
      </text>
    </comment>
  </commentList>
</comments>
</file>

<file path=xl/comments22.xml><?xml version="1.0" encoding="utf-8"?>
<comments xmlns="http://schemas.openxmlformats.org/spreadsheetml/2006/main">
  <authors>
    <author>Author</author>
  </authors>
  <commentList>
    <comment ref="F33" authorId="0">
      <text>
        <r>
          <rPr>
            <b/>
            <sz val="9"/>
            <rFont val="Tahoma"/>
            <family val="2"/>
          </rPr>
          <t>Author:</t>
        </r>
        <r>
          <rPr>
            <sz val="9"/>
            <rFont val="Tahoma"/>
            <family val="2"/>
          </rPr>
          <t xml:space="preserve">
APS uses 30 for full-time instructional load</t>
        </r>
      </text>
    </comment>
    <comment ref="F38" authorId="0">
      <text>
        <r>
          <rPr>
            <b/>
            <sz val="9"/>
            <rFont val="Tahoma"/>
            <family val="2"/>
          </rPr>
          <t>Author:</t>
        </r>
        <r>
          <rPr>
            <sz val="9"/>
            <rFont val="Tahoma"/>
            <family val="2"/>
          </rPr>
          <t xml:space="preserve">
APS uses 30 for full-time instructional load</t>
        </r>
      </text>
    </comment>
    <comment ref="G54" authorId="0">
      <text>
        <r>
          <rPr>
            <b/>
            <sz val="9"/>
            <rFont val="Tahoma"/>
            <family val="2"/>
          </rPr>
          <t>Author:</t>
        </r>
        <r>
          <rPr>
            <sz val="9"/>
            <rFont val="Tahoma"/>
            <family val="2"/>
          </rPr>
          <t xml:space="preserve">
Note: Typically would exclude internship and D/S, I/S courses</t>
        </r>
      </text>
    </comment>
    <comment ref="J54" authorId="0">
      <text>
        <r>
          <rPr>
            <b/>
            <sz val="9"/>
            <rFont val="Tahoma"/>
            <family val="2"/>
          </rPr>
          <t>Author:</t>
        </r>
        <r>
          <rPr>
            <sz val="9"/>
            <rFont val="Tahoma"/>
            <family val="2"/>
          </rPr>
          <t xml:space="preserve">
Note: Typically would exclude internship and D/S, I/S courses</t>
        </r>
      </text>
    </comment>
    <comment ref="M54" authorId="0">
      <text>
        <r>
          <rPr>
            <b/>
            <sz val="9"/>
            <rFont val="Tahoma"/>
            <family val="2"/>
          </rPr>
          <t>Author:</t>
        </r>
        <r>
          <rPr>
            <sz val="9"/>
            <rFont val="Tahoma"/>
            <family val="2"/>
          </rPr>
          <t xml:space="preserve">
Note: Typically would exclude internship and D/S, I/S courses</t>
        </r>
      </text>
    </comment>
  </commentList>
</comments>
</file>

<file path=xl/comments23.xml><?xml version="1.0" encoding="utf-8"?>
<comments xmlns="http://schemas.openxmlformats.org/spreadsheetml/2006/main">
  <authors>
    <author>Author</author>
  </authors>
  <commentList>
    <comment ref="F33" authorId="0">
      <text>
        <r>
          <rPr>
            <b/>
            <sz val="9"/>
            <rFont val="Tahoma"/>
            <family val="2"/>
          </rPr>
          <t>Author:</t>
        </r>
        <r>
          <rPr>
            <sz val="9"/>
            <rFont val="Tahoma"/>
            <family val="2"/>
          </rPr>
          <t xml:space="preserve">
APS uses 30 for full-time instructional load</t>
        </r>
      </text>
    </comment>
    <comment ref="F38" authorId="0">
      <text>
        <r>
          <rPr>
            <b/>
            <sz val="9"/>
            <rFont val="Tahoma"/>
            <family val="2"/>
          </rPr>
          <t>Author:</t>
        </r>
        <r>
          <rPr>
            <sz val="9"/>
            <rFont val="Tahoma"/>
            <family val="2"/>
          </rPr>
          <t xml:space="preserve">
APS uses 30 for full-time instructional load</t>
        </r>
      </text>
    </comment>
    <comment ref="G54" authorId="0">
      <text>
        <r>
          <rPr>
            <b/>
            <sz val="9"/>
            <rFont val="Tahoma"/>
            <family val="2"/>
          </rPr>
          <t>Author:</t>
        </r>
        <r>
          <rPr>
            <sz val="9"/>
            <rFont val="Tahoma"/>
            <family val="2"/>
          </rPr>
          <t xml:space="preserve">
Note: Typically would exclude internship and D/S, I/S courses</t>
        </r>
      </text>
    </comment>
    <comment ref="J54" authorId="0">
      <text>
        <r>
          <rPr>
            <b/>
            <sz val="9"/>
            <rFont val="Tahoma"/>
            <family val="2"/>
          </rPr>
          <t>Author:</t>
        </r>
        <r>
          <rPr>
            <sz val="9"/>
            <rFont val="Tahoma"/>
            <family val="2"/>
          </rPr>
          <t xml:space="preserve">
Note: Typically would exclude internship and D/S, I/S courses</t>
        </r>
      </text>
    </comment>
    <comment ref="M54" authorId="0">
      <text>
        <r>
          <rPr>
            <b/>
            <sz val="9"/>
            <rFont val="Tahoma"/>
            <family val="2"/>
          </rPr>
          <t>Author:</t>
        </r>
        <r>
          <rPr>
            <sz val="9"/>
            <rFont val="Tahoma"/>
            <family val="2"/>
          </rPr>
          <t xml:space="preserve">
Note: Typically would exclude internship and D/S, I/S courses</t>
        </r>
      </text>
    </comment>
  </commentList>
</comments>
</file>

<file path=xl/comments24.xml><?xml version="1.0" encoding="utf-8"?>
<comments xmlns="http://schemas.openxmlformats.org/spreadsheetml/2006/main">
  <authors>
    <author>Author</author>
  </authors>
  <commentList>
    <comment ref="F33" authorId="0">
      <text>
        <r>
          <rPr>
            <b/>
            <sz val="9"/>
            <rFont val="Tahoma"/>
            <family val="2"/>
          </rPr>
          <t>Author:</t>
        </r>
        <r>
          <rPr>
            <sz val="9"/>
            <rFont val="Tahoma"/>
            <family val="2"/>
          </rPr>
          <t xml:space="preserve">
APS uses 30 for full-time instructional load</t>
        </r>
      </text>
    </comment>
    <comment ref="F38" authorId="0">
      <text>
        <r>
          <rPr>
            <b/>
            <sz val="9"/>
            <rFont val="Tahoma"/>
            <family val="2"/>
          </rPr>
          <t>Author:</t>
        </r>
        <r>
          <rPr>
            <sz val="9"/>
            <rFont val="Tahoma"/>
            <family val="2"/>
          </rPr>
          <t xml:space="preserve">
APS uses 30 for full-time instructional load</t>
        </r>
      </text>
    </comment>
    <comment ref="G54" authorId="0">
      <text>
        <r>
          <rPr>
            <b/>
            <sz val="9"/>
            <rFont val="Tahoma"/>
            <family val="2"/>
          </rPr>
          <t>Author:</t>
        </r>
        <r>
          <rPr>
            <sz val="9"/>
            <rFont val="Tahoma"/>
            <family val="2"/>
          </rPr>
          <t xml:space="preserve">
Note: Typically would exclude internship and D/S, I/S courses</t>
        </r>
      </text>
    </comment>
    <comment ref="J54" authorId="0">
      <text>
        <r>
          <rPr>
            <b/>
            <sz val="9"/>
            <rFont val="Tahoma"/>
            <family val="2"/>
          </rPr>
          <t>Author:</t>
        </r>
        <r>
          <rPr>
            <sz val="9"/>
            <rFont val="Tahoma"/>
            <family val="2"/>
          </rPr>
          <t xml:space="preserve">
Note: Typically would exclude internship and D/S, I/S courses</t>
        </r>
      </text>
    </comment>
    <comment ref="M54" authorId="0">
      <text>
        <r>
          <rPr>
            <b/>
            <sz val="9"/>
            <rFont val="Tahoma"/>
            <family val="2"/>
          </rPr>
          <t>Author:</t>
        </r>
        <r>
          <rPr>
            <sz val="9"/>
            <rFont val="Tahoma"/>
            <family val="2"/>
          </rPr>
          <t xml:space="preserve">
Note: Typically would exclude internship and D/S, I/S courses</t>
        </r>
      </text>
    </comment>
  </commentList>
</comments>
</file>

<file path=xl/comments25.xml><?xml version="1.0" encoding="utf-8"?>
<comments xmlns="http://schemas.openxmlformats.org/spreadsheetml/2006/main">
  <authors>
    <author>Author</author>
  </authors>
  <commentList>
    <comment ref="F33" authorId="0">
      <text>
        <r>
          <rPr>
            <b/>
            <sz val="9"/>
            <rFont val="Tahoma"/>
            <family val="2"/>
          </rPr>
          <t>Author:</t>
        </r>
        <r>
          <rPr>
            <sz val="9"/>
            <rFont val="Tahoma"/>
            <family val="2"/>
          </rPr>
          <t xml:space="preserve">
APS uses 30 for full-time instructional load</t>
        </r>
      </text>
    </comment>
    <comment ref="F38" authorId="0">
      <text>
        <r>
          <rPr>
            <b/>
            <sz val="9"/>
            <rFont val="Tahoma"/>
            <family val="2"/>
          </rPr>
          <t>Author:</t>
        </r>
        <r>
          <rPr>
            <sz val="9"/>
            <rFont val="Tahoma"/>
            <family val="2"/>
          </rPr>
          <t xml:space="preserve">
APS uses 30 for full-time instructional load</t>
        </r>
      </text>
    </comment>
    <comment ref="G53" authorId="0">
      <text>
        <r>
          <rPr>
            <b/>
            <sz val="9"/>
            <rFont val="Tahoma"/>
            <family val="2"/>
          </rPr>
          <t>Author:</t>
        </r>
        <r>
          <rPr>
            <sz val="9"/>
            <rFont val="Tahoma"/>
            <family val="2"/>
          </rPr>
          <t xml:space="preserve">
Note: Typically would exclude internship and D/S, I/S courses</t>
        </r>
      </text>
    </comment>
    <comment ref="J53" authorId="0">
      <text>
        <r>
          <rPr>
            <b/>
            <sz val="9"/>
            <rFont val="Tahoma"/>
            <family val="2"/>
          </rPr>
          <t>Author:</t>
        </r>
        <r>
          <rPr>
            <sz val="9"/>
            <rFont val="Tahoma"/>
            <family val="2"/>
          </rPr>
          <t xml:space="preserve">
Note: Typically would exclude internship and D/S, I/S courses</t>
        </r>
      </text>
    </comment>
    <comment ref="M53" authorId="0">
      <text>
        <r>
          <rPr>
            <b/>
            <sz val="9"/>
            <rFont val="Tahoma"/>
            <family val="2"/>
          </rPr>
          <t>Author:</t>
        </r>
        <r>
          <rPr>
            <sz val="9"/>
            <rFont val="Tahoma"/>
            <family val="2"/>
          </rPr>
          <t xml:space="preserve">
Note: Typically would exclude internship and D/S, I/S courses</t>
        </r>
      </text>
    </comment>
    <comment ref="G54" authorId="0">
      <text>
        <r>
          <rPr>
            <b/>
            <sz val="9"/>
            <rFont val="Tahoma"/>
            <family val="2"/>
          </rPr>
          <t>Author:</t>
        </r>
        <r>
          <rPr>
            <sz val="9"/>
            <rFont val="Tahoma"/>
            <family val="2"/>
          </rPr>
          <t xml:space="preserve">
Note: Typically would exclude internship and D/S, I/S courses</t>
        </r>
      </text>
    </comment>
    <comment ref="J54" authorId="0">
      <text>
        <r>
          <rPr>
            <b/>
            <sz val="9"/>
            <rFont val="Tahoma"/>
            <family val="2"/>
          </rPr>
          <t>Author:</t>
        </r>
        <r>
          <rPr>
            <sz val="9"/>
            <rFont val="Tahoma"/>
            <family val="2"/>
          </rPr>
          <t xml:space="preserve">
Note: Typically would exclude internship and D/S, I/S courses</t>
        </r>
      </text>
    </comment>
    <comment ref="M54" authorId="0">
      <text>
        <r>
          <rPr>
            <b/>
            <sz val="9"/>
            <rFont val="Tahoma"/>
            <family val="2"/>
          </rPr>
          <t>Author:</t>
        </r>
        <r>
          <rPr>
            <sz val="9"/>
            <rFont val="Tahoma"/>
            <family val="2"/>
          </rPr>
          <t xml:space="preserve">
Note: Typically would exclude internship and D/S, I/S courses</t>
        </r>
      </text>
    </comment>
  </commentList>
</comments>
</file>

<file path=xl/comments26.xml><?xml version="1.0" encoding="utf-8"?>
<comments xmlns="http://schemas.openxmlformats.org/spreadsheetml/2006/main">
  <authors>
    <author>Author</author>
  </authors>
  <commentList>
    <comment ref="F33" authorId="0">
      <text>
        <r>
          <rPr>
            <b/>
            <sz val="9"/>
            <rFont val="Tahoma"/>
            <family val="2"/>
          </rPr>
          <t>Author:</t>
        </r>
        <r>
          <rPr>
            <sz val="9"/>
            <rFont val="Tahoma"/>
            <family val="2"/>
          </rPr>
          <t xml:space="preserve">
APS uses 30 for full-time instructional load</t>
        </r>
      </text>
    </comment>
    <comment ref="F38" authorId="0">
      <text>
        <r>
          <rPr>
            <b/>
            <sz val="9"/>
            <rFont val="Tahoma"/>
            <family val="2"/>
          </rPr>
          <t>Author:</t>
        </r>
        <r>
          <rPr>
            <sz val="9"/>
            <rFont val="Tahoma"/>
            <family val="2"/>
          </rPr>
          <t xml:space="preserve">
APS uses 30 for full-time instructional load</t>
        </r>
      </text>
    </comment>
    <comment ref="J46" authorId="0">
      <text>
        <r>
          <rPr>
            <b/>
            <sz val="9"/>
            <rFont val="Tahoma"/>
            <family val="2"/>
          </rPr>
          <t>Author:</t>
        </r>
        <r>
          <rPr>
            <sz val="9"/>
            <rFont val="Tahoma"/>
            <family val="2"/>
          </rPr>
          <t xml:space="preserve">
cross referenced chair listing for 2019 and found all professors, not sure if there is any lecturers.  </t>
        </r>
      </text>
    </comment>
    <comment ref="M46" authorId="0">
      <text>
        <r>
          <rPr>
            <b/>
            <sz val="9"/>
            <rFont val="Tahoma"/>
            <family val="2"/>
          </rPr>
          <t>Author:</t>
        </r>
        <r>
          <rPr>
            <sz val="9"/>
            <rFont val="Tahoma"/>
            <family val="2"/>
          </rPr>
          <t xml:space="preserve">
used 2017 Budget </t>
        </r>
      </text>
    </comment>
    <comment ref="G54" authorId="0">
      <text>
        <r>
          <rPr>
            <b/>
            <sz val="9"/>
            <rFont val="Tahoma"/>
            <family val="2"/>
          </rPr>
          <t>Author:</t>
        </r>
        <r>
          <rPr>
            <sz val="9"/>
            <rFont val="Tahoma"/>
            <family val="2"/>
          </rPr>
          <t xml:space="preserve">
Note: Typically would exclude internship and D/S, I/S courses</t>
        </r>
      </text>
    </comment>
    <comment ref="J54" authorId="0">
      <text>
        <r>
          <rPr>
            <b/>
            <sz val="9"/>
            <rFont val="Tahoma"/>
            <family val="2"/>
          </rPr>
          <t>Author:</t>
        </r>
        <r>
          <rPr>
            <sz val="9"/>
            <rFont val="Tahoma"/>
            <family val="2"/>
          </rPr>
          <t xml:space="preserve">
Note: Typically would exclude internship and D/S, I/S courses</t>
        </r>
      </text>
    </comment>
    <comment ref="M54" authorId="0">
      <text>
        <r>
          <rPr>
            <b/>
            <sz val="9"/>
            <rFont val="Tahoma"/>
            <family val="2"/>
          </rPr>
          <t>Author:</t>
        </r>
        <r>
          <rPr>
            <sz val="9"/>
            <rFont val="Tahoma"/>
            <family val="2"/>
          </rPr>
          <t xml:space="preserve">
Note: Typically would exclude internship and D/S, I/S courses</t>
        </r>
      </text>
    </comment>
  </commentList>
</comments>
</file>

<file path=xl/comments27.xml><?xml version="1.0" encoding="utf-8"?>
<comments xmlns="http://schemas.openxmlformats.org/spreadsheetml/2006/main">
  <authors>
    <author>Author</author>
  </authors>
  <commentList>
    <comment ref="G28" authorId="0">
      <text>
        <r>
          <rPr>
            <b/>
            <sz val="9"/>
            <rFont val="Tahoma"/>
            <family val="2"/>
          </rPr>
          <t>Author:</t>
        </r>
        <r>
          <rPr>
            <sz val="9"/>
            <rFont val="Tahoma"/>
            <family val="2"/>
          </rPr>
          <t xml:space="preserve">
Shared costs with Film
</t>
        </r>
      </text>
    </comment>
    <comment ref="J28" authorId="0">
      <text>
        <r>
          <rPr>
            <b/>
            <sz val="9"/>
            <rFont val="Tahoma"/>
            <family val="2"/>
          </rPr>
          <t>Author:</t>
        </r>
        <r>
          <rPr>
            <sz val="9"/>
            <rFont val="Tahoma"/>
            <family val="2"/>
          </rPr>
          <t xml:space="preserve">
Shared costs with Film
</t>
        </r>
      </text>
    </comment>
    <comment ref="M28" authorId="0">
      <text>
        <r>
          <rPr>
            <b/>
            <sz val="9"/>
            <rFont val="Tahoma"/>
            <family val="2"/>
          </rPr>
          <t>Author:</t>
        </r>
        <r>
          <rPr>
            <sz val="9"/>
            <rFont val="Tahoma"/>
            <family val="2"/>
          </rPr>
          <t xml:space="preserve">
Shared costs with Film
</t>
        </r>
      </text>
    </comment>
    <comment ref="F33" authorId="0">
      <text>
        <r>
          <rPr>
            <b/>
            <sz val="9"/>
            <rFont val="Tahoma"/>
            <family val="2"/>
          </rPr>
          <t>Author:</t>
        </r>
        <r>
          <rPr>
            <sz val="9"/>
            <rFont val="Tahoma"/>
            <family val="2"/>
          </rPr>
          <t xml:space="preserve">
APS uses 30 for full-time instructional load</t>
        </r>
      </text>
    </comment>
    <comment ref="F38" authorId="0">
      <text>
        <r>
          <rPr>
            <b/>
            <sz val="9"/>
            <rFont val="Tahoma"/>
            <family val="2"/>
          </rPr>
          <t>Author:</t>
        </r>
        <r>
          <rPr>
            <sz val="9"/>
            <rFont val="Tahoma"/>
            <family val="2"/>
          </rPr>
          <t xml:space="preserve">
APS uses 30 for full-time instructional load</t>
        </r>
      </text>
    </comment>
    <comment ref="J47" authorId="0">
      <text>
        <r>
          <rPr>
            <b/>
            <sz val="9"/>
            <rFont val="Tahoma"/>
            <family val="2"/>
          </rPr>
          <t>Author:</t>
        </r>
        <r>
          <rPr>
            <sz val="9"/>
            <rFont val="Tahoma"/>
            <family val="2"/>
          </rPr>
          <t xml:space="preserve">
per original budget
</t>
        </r>
      </text>
    </comment>
    <comment ref="G54" authorId="0">
      <text>
        <r>
          <rPr>
            <b/>
            <sz val="9"/>
            <rFont val="Tahoma"/>
            <family val="2"/>
          </rPr>
          <t>Author:</t>
        </r>
        <r>
          <rPr>
            <sz val="9"/>
            <rFont val="Tahoma"/>
            <family val="2"/>
          </rPr>
          <t xml:space="preserve">
Note: Typically would exclude internship and D/S, I/S courses</t>
        </r>
      </text>
    </comment>
    <comment ref="J54" authorId="0">
      <text>
        <r>
          <rPr>
            <b/>
            <sz val="9"/>
            <rFont val="Tahoma"/>
            <family val="2"/>
          </rPr>
          <t>Author:</t>
        </r>
        <r>
          <rPr>
            <sz val="9"/>
            <rFont val="Tahoma"/>
            <family val="2"/>
          </rPr>
          <t xml:space="preserve">
Note: Typically would exclude internship and D/S, I/S courses</t>
        </r>
      </text>
    </comment>
    <comment ref="M54" authorId="0">
      <text>
        <r>
          <rPr>
            <b/>
            <sz val="9"/>
            <rFont val="Tahoma"/>
            <family val="2"/>
          </rPr>
          <t>Author:</t>
        </r>
        <r>
          <rPr>
            <sz val="9"/>
            <rFont val="Tahoma"/>
            <family val="2"/>
          </rPr>
          <t xml:space="preserve">
Note: Typically would exclude internship and D/S, I/S courses</t>
        </r>
      </text>
    </comment>
  </commentList>
</comments>
</file>

<file path=xl/comments28.xml><?xml version="1.0" encoding="utf-8"?>
<comments xmlns="http://schemas.openxmlformats.org/spreadsheetml/2006/main">
  <authors>
    <author>Author</author>
  </authors>
  <commentList>
    <comment ref="F33" authorId="0">
      <text>
        <r>
          <rPr>
            <b/>
            <sz val="9"/>
            <rFont val="Tahoma"/>
            <family val="2"/>
          </rPr>
          <t>Author:</t>
        </r>
        <r>
          <rPr>
            <sz val="9"/>
            <rFont val="Tahoma"/>
            <family val="2"/>
          </rPr>
          <t xml:space="preserve">
APS uses 30 for full-time instructional load</t>
        </r>
      </text>
    </comment>
    <comment ref="F38" authorId="0">
      <text>
        <r>
          <rPr>
            <b/>
            <sz val="9"/>
            <rFont val="Tahoma"/>
            <family val="2"/>
          </rPr>
          <t>Author:</t>
        </r>
        <r>
          <rPr>
            <sz val="9"/>
            <rFont val="Tahoma"/>
            <family val="2"/>
          </rPr>
          <t xml:space="preserve">
APS uses 30 for full-time instructional load</t>
        </r>
      </text>
    </comment>
    <comment ref="G54" authorId="0">
      <text>
        <r>
          <rPr>
            <b/>
            <sz val="9"/>
            <rFont val="Tahoma"/>
            <family val="2"/>
          </rPr>
          <t>Author:</t>
        </r>
        <r>
          <rPr>
            <sz val="9"/>
            <rFont val="Tahoma"/>
            <family val="2"/>
          </rPr>
          <t xml:space="preserve">
Note: Typically would exclude internship and D/S, I/S courses</t>
        </r>
      </text>
    </comment>
    <comment ref="J54" authorId="0">
      <text>
        <r>
          <rPr>
            <b/>
            <sz val="9"/>
            <rFont val="Tahoma"/>
            <family val="2"/>
          </rPr>
          <t>Author:</t>
        </r>
        <r>
          <rPr>
            <sz val="9"/>
            <rFont val="Tahoma"/>
            <family val="2"/>
          </rPr>
          <t xml:space="preserve">
Note: Typically would exclude internship and D/S, I/S courses</t>
        </r>
      </text>
    </comment>
    <comment ref="M54" authorId="0">
      <text>
        <r>
          <rPr>
            <b/>
            <sz val="9"/>
            <rFont val="Tahoma"/>
            <family val="2"/>
          </rPr>
          <t>Author:</t>
        </r>
        <r>
          <rPr>
            <sz val="9"/>
            <rFont val="Tahoma"/>
            <family val="2"/>
          </rPr>
          <t xml:space="preserve">
Note: Typically would exclude internship and D/S, I/S courses</t>
        </r>
      </text>
    </comment>
  </commentList>
</comments>
</file>

<file path=xl/comments29.xml><?xml version="1.0" encoding="utf-8"?>
<comments xmlns="http://schemas.openxmlformats.org/spreadsheetml/2006/main">
  <authors>
    <author>Author</author>
  </authors>
  <commentList>
    <comment ref="F33" authorId="0">
      <text>
        <r>
          <rPr>
            <b/>
            <sz val="9"/>
            <rFont val="Tahoma"/>
            <family val="2"/>
          </rPr>
          <t>Author:</t>
        </r>
        <r>
          <rPr>
            <sz val="9"/>
            <rFont val="Tahoma"/>
            <family val="2"/>
          </rPr>
          <t xml:space="preserve">
APS uses 30 for full-time instructional load</t>
        </r>
      </text>
    </comment>
    <comment ref="F38" authorId="0">
      <text>
        <r>
          <rPr>
            <b/>
            <sz val="9"/>
            <rFont val="Tahoma"/>
            <family val="2"/>
          </rPr>
          <t>Author:</t>
        </r>
        <r>
          <rPr>
            <sz val="9"/>
            <rFont val="Tahoma"/>
            <family val="2"/>
          </rPr>
          <t xml:space="preserve">
APS uses 30 for full-time instructional load</t>
        </r>
      </text>
    </comment>
    <comment ref="G54" authorId="0">
      <text>
        <r>
          <rPr>
            <b/>
            <sz val="9"/>
            <rFont val="Tahoma"/>
            <family val="2"/>
          </rPr>
          <t>Author:</t>
        </r>
        <r>
          <rPr>
            <sz val="9"/>
            <rFont val="Tahoma"/>
            <family val="2"/>
          </rPr>
          <t xml:space="preserve">
Note: Typically would exclude internship and D/S, I/S courses</t>
        </r>
      </text>
    </comment>
    <comment ref="J54" authorId="0">
      <text>
        <r>
          <rPr>
            <b/>
            <sz val="9"/>
            <rFont val="Tahoma"/>
            <family val="2"/>
          </rPr>
          <t>Author:</t>
        </r>
        <r>
          <rPr>
            <sz val="9"/>
            <rFont val="Tahoma"/>
            <family val="2"/>
          </rPr>
          <t xml:space="preserve">
Note: Typically would exclude internship and D/S, I/S courses</t>
        </r>
      </text>
    </comment>
    <comment ref="M54" authorId="0">
      <text>
        <r>
          <rPr>
            <b/>
            <sz val="9"/>
            <rFont val="Tahoma"/>
            <family val="2"/>
          </rPr>
          <t>Author:</t>
        </r>
        <r>
          <rPr>
            <sz val="9"/>
            <rFont val="Tahoma"/>
            <family val="2"/>
          </rPr>
          <t xml:space="preserve">
Note: Typically would exclude internship and D/S, I/S courses</t>
        </r>
      </text>
    </comment>
  </commentList>
</comments>
</file>

<file path=xl/comments30.xml><?xml version="1.0" encoding="utf-8"?>
<comments xmlns="http://schemas.openxmlformats.org/spreadsheetml/2006/main">
  <authors>
    <author>Author</author>
  </authors>
  <commentList>
    <comment ref="F33" authorId="0">
      <text>
        <r>
          <rPr>
            <b/>
            <sz val="9"/>
            <rFont val="Tahoma"/>
            <family val="2"/>
          </rPr>
          <t>Author:</t>
        </r>
        <r>
          <rPr>
            <sz val="9"/>
            <rFont val="Tahoma"/>
            <family val="2"/>
          </rPr>
          <t xml:space="preserve">
APS uses 30 for full-time instructional load</t>
        </r>
      </text>
    </comment>
    <comment ref="F38" authorId="0">
      <text>
        <r>
          <rPr>
            <b/>
            <sz val="9"/>
            <rFont val="Tahoma"/>
            <family val="2"/>
          </rPr>
          <t>Author:</t>
        </r>
        <r>
          <rPr>
            <sz val="9"/>
            <rFont val="Tahoma"/>
            <family val="2"/>
          </rPr>
          <t xml:space="preserve">
APS uses 30 for full-time instructional load</t>
        </r>
      </text>
    </comment>
    <comment ref="G54" authorId="0">
      <text>
        <r>
          <rPr>
            <b/>
            <sz val="9"/>
            <rFont val="Tahoma"/>
            <family val="2"/>
          </rPr>
          <t>Author:</t>
        </r>
        <r>
          <rPr>
            <sz val="9"/>
            <rFont val="Tahoma"/>
            <family val="2"/>
          </rPr>
          <t xml:space="preserve">
Note: Typically would exclude internship and D/S, I/S courses</t>
        </r>
      </text>
    </comment>
    <comment ref="J54" authorId="0">
      <text>
        <r>
          <rPr>
            <b/>
            <sz val="9"/>
            <rFont val="Tahoma"/>
            <family val="2"/>
          </rPr>
          <t>Author:</t>
        </r>
        <r>
          <rPr>
            <sz val="9"/>
            <rFont val="Tahoma"/>
            <family val="2"/>
          </rPr>
          <t xml:space="preserve">
Note: Typically would exclude internship and D/S, I/S courses</t>
        </r>
      </text>
    </comment>
    <comment ref="M54" authorId="0">
      <text>
        <r>
          <rPr>
            <b/>
            <sz val="9"/>
            <rFont val="Tahoma"/>
            <family val="2"/>
          </rPr>
          <t>Author:</t>
        </r>
        <r>
          <rPr>
            <sz val="9"/>
            <rFont val="Tahoma"/>
            <family val="2"/>
          </rPr>
          <t xml:space="preserve">
Note: Typically would exclude internship and D/S, I/S courses</t>
        </r>
      </text>
    </comment>
  </commentList>
</comments>
</file>

<file path=xl/comments31.xml><?xml version="1.0" encoding="utf-8"?>
<comments xmlns="http://schemas.openxmlformats.org/spreadsheetml/2006/main">
  <authors>
    <author>Author</author>
  </authors>
  <commentList>
    <comment ref="F33" authorId="0">
      <text>
        <r>
          <rPr>
            <b/>
            <sz val="9"/>
            <rFont val="Tahoma"/>
            <family val="2"/>
          </rPr>
          <t>Author:</t>
        </r>
        <r>
          <rPr>
            <sz val="9"/>
            <rFont val="Tahoma"/>
            <family val="2"/>
          </rPr>
          <t xml:space="preserve">
APS uses 30 for full-time instructional load</t>
        </r>
      </text>
    </comment>
    <comment ref="F38" authorId="0">
      <text>
        <r>
          <rPr>
            <b/>
            <sz val="9"/>
            <rFont val="Tahoma"/>
            <family val="2"/>
          </rPr>
          <t>Author:</t>
        </r>
        <r>
          <rPr>
            <sz val="9"/>
            <rFont val="Tahoma"/>
            <family val="2"/>
          </rPr>
          <t xml:space="preserve">
APS uses 30 for full-time instructional load</t>
        </r>
      </text>
    </comment>
    <comment ref="G54" authorId="0">
      <text>
        <r>
          <rPr>
            <b/>
            <sz val="9"/>
            <rFont val="Tahoma"/>
            <family val="2"/>
          </rPr>
          <t>Author:</t>
        </r>
        <r>
          <rPr>
            <sz val="9"/>
            <rFont val="Tahoma"/>
            <family val="2"/>
          </rPr>
          <t xml:space="preserve">
Note: Typically would exclude internship and D/S, I/S courses</t>
        </r>
      </text>
    </comment>
    <comment ref="J54" authorId="0">
      <text>
        <r>
          <rPr>
            <b/>
            <sz val="9"/>
            <rFont val="Tahoma"/>
            <family val="2"/>
          </rPr>
          <t>Author:</t>
        </r>
        <r>
          <rPr>
            <sz val="9"/>
            <rFont val="Tahoma"/>
            <family val="2"/>
          </rPr>
          <t xml:space="preserve">
Note: Typically would exclude internship and D/S, I/S courses</t>
        </r>
      </text>
    </comment>
    <comment ref="M54" authorId="0">
      <text>
        <r>
          <rPr>
            <b/>
            <sz val="9"/>
            <rFont val="Tahoma"/>
            <family val="2"/>
          </rPr>
          <t>Author:</t>
        </r>
        <r>
          <rPr>
            <sz val="9"/>
            <rFont val="Tahoma"/>
            <family val="2"/>
          </rPr>
          <t xml:space="preserve">
Note: Typically would exclude internship and D/S, I/S courses</t>
        </r>
      </text>
    </comment>
  </commentList>
</comments>
</file>

<file path=xl/comments32.xml><?xml version="1.0" encoding="utf-8"?>
<comments xmlns="http://schemas.openxmlformats.org/spreadsheetml/2006/main">
  <authors>
    <author>Author</author>
  </authors>
  <commentList>
    <comment ref="F33" authorId="0">
      <text>
        <r>
          <rPr>
            <b/>
            <sz val="9"/>
            <rFont val="Tahoma"/>
            <family val="2"/>
          </rPr>
          <t>Author:</t>
        </r>
        <r>
          <rPr>
            <sz val="9"/>
            <rFont val="Tahoma"/>
            <family val="2"/>
          </rPr>
          <t xml:space="preserve">
APS uses 30 for full-time instructional load</t>
        </r>
      </text>
    </comment>
    <comment ref="F38" authorId="0">
      <text>
        <r>
          <rPr>
            <b/>
            <sz val="9"/>
            <rFont val="Tahoma"/>
            <family val="2"/>
          </rPr>
          <t>Author:</t>
        </r>
        <r>
          <rPr>
            <sz val="9"/>
            <rFont val="Tahoma"/>
            <family val="2"/>
          </rPr>
          <t xml:space="preserve">
APS uses 30 for full-time instructional load</t>
        </r>
      </text>
    </comment>
    <comment ref="G54" authorId="0">
      <text>
        <r>
          <rPr>
            <b/>
            <sz val="9"/>
            <rFont val="Tahoma"/>
            <family val="2"/>
          </rPr>
          <t>Author:</t>
        </r>
        <r>
          <rPr>
            <sz val="9"/>
            <rFont val="Tahoma"/>
            <family val="2"/>
          </rPr>
          <t xml:space="preserve">
Note: Typically would exclude internship and D/S, I/S courses</t>
        </r>
      </text>
    </comment>
    <comment ref="J54" authorId="0">
      <text>
        <r>
          <rPr>
            <b/>
            <sz val="9"/>
            <rFont val="Tahoma"/>
            <family val="2"/>
          </rPr>
          <t>Author:</t>
        </r>
        <r>
          <rPr>
            <sz val="9"/>
            <rFont val="Tahoma"/>
            <family val="2"/>
          </rPr>
          <t xml:space="preserve">
Note: Typically would exclude internship and D/S, I/S courses</t>
        </r>
      </text>
    </comment>
    <comment ref="M54" authorId="0">
      <text>
        <r>
          <rPr>
            <b/>
            <sz val="9"/>
            <rFont val="Tahoma"/>
            <family val="2"/>
          </rPr>
          <t>Author:</t>
        </r>
        <r>
          <rPr>
            <sz val="9"/>
            <rFont val="Tahoma"/>
            <family val="2"/>
          </rPr>
          <t xml:space="preserve">
Note: Typically would exclude internship and D/S, I/S courses</t>
        </r>
      </text>
    </comment>
  </commentList>
</comments>
</file>

<file path=xl/comments33.xml><?xml version="1.0" encoding="utf-8"?>
<comments xmlns="http://schemas.openxmlformats.org/spreadsheetml/2006/main">
  <authors>
    <author>Author</author>
  </authors>
  <commentList>
    <comment ref="F33" authorId="0">
      <text>
        <r>
          <rPr>
            <b/>
            <sz val="9"/>
            <rFont val="Tahoma"/>
            <family val="2"/>
          </rPr>
          <t>Author:</t>
        </r>
        <r>
          <rPr>
            <sz val="9"/>
            <rFont val="Tahoma"/>
            <family val="2"/>
          </rPr>
          <t xml:space="preserve">
APS uses 30 for full-time instructional load</t>
        </r>
      </text>
    </comment>
    <comment ref="F38" authorId="0">
      <text>
        <r>
          <rPr>
            <b/>
            <sz val="9"/>
            <rFont val="Tahoma"/>
            <family val="2"/>
          </rPr>
          <t>Author:</t>
        </r>
        <r>
          <rPr>
            <sz val="9"/>
            <rFont val="Tahoma"/>
            <family val="2"/>
          </rPr>
          <t xml:space="preserve">
APS uses 30 for full-time instructional load</t>
        </r>
      </text>
    </comment>
    <comment ref="G54" authorId="0">
      <text>
        <r>
          <rPr>
            <b/>
            <sz val="9"/>
            <rFont val="Tahoma"/>
            <family val="2"/>
          </rPr>
          <t>Author:</t>
        </r>
        <r>
          <rPr>
            <sz val="9"/>
            <rFont val="Tahoma"/>
            <family val="2"/>
          </rPr>
          <t xml:space="preserve">
Note: Typically would exclude internship and D/S, I/S courses</t>
        </r>
      </text>
    </comment>
    <comment ref="J54" authorId="0">
      <text>
        <r>
          <rPr>
            <b/>
            <sz val="9"/>
            <rFont val="Tahoma"/>
            <family val="2"/>
          </rPr>
          <t>Author:</t>
        </r>
        <r>
          <rPr>
            <sz val="9"/>
            <rFont val="Tahoma"/>
            <family val="2"/>
          </rPr>
          <t xml:space="preserve">
Note: Typically would exclude internship and D/S, I/S courses</t>
        </r>
      </text>
    </comment>
    <comment ref="M54" authorId="0">
      <text>
        <r>
          <rPr>
            <b/>
            <sz val="9"/>
            <rFont val="Tahoma"/>
            <family val="2"/>
          </rPr>
          <t>Author:</t>
        </r>
        <r>
          <rPr>
            <sz val="9"/>
            <rFont val="Tahoma"/>
            <family val="2"/>
          </rPr>
          <t xml:space="preserve">
Note: Typically would exclude internship and D/S, I/S courses</t>
        </r>
      </text>
    </comment>
  </commentList>
</comments>
</file>

<file path=xl/comments34.xml><?xml version="1.0" encoding="utf-8"?>
<comments xmlns="http://schemas.openxmlformats.org/spreadsheetml/2006/main">
  <authors>
    <author>Author</author>
  </authors>
  <commentList>
    <comment ref="F33" authorId="0">
      <text>
        <r>
          <rPr>
            <b/>
            <sz val="9"/>
            <rFont val="Tahoma"/>
            <family val="2"/>
          </rPr>
          <t>Author:</t>
        </r>
        <r>
          <rPr>
            <sz val="9"/>
            <rFont val="Tahoma"/>
            <family val="2"/>
          </rPr>
          <t xml:space="preserve">
APS uses 30 for full-time instructional load</t>
        </r>
      </text>
    </comment>
    <comment ref="F38" authorId="0">
      <text>
        <r>
          <rPr>
            <b/>
            <sz val="9"/>
            <rFont val="Tahoma"/>
            <family val="2"/>
          </rPr>
          <t>Author:</t>
        </r>
        <r>
          <rPr>
            <sz val="9"/>
            <rFont val="Tahoma"/>
            <family val="2"/>
          </rPr>
          <t xml:space="preserve">
APS uses 30 for full-time instructional load</t>
        </r>
      </text>
    </comment>
    <comment ref="G54" authorId="0">
      <text>
        <r>
          <rPr>
            <b/>
            <sz val="9"/>
            <rFont val="Tahoma"/>
            <family val="2"/>
          </rPr>
          <t>Author:</t>
        </r>
        <r>
          <rPr>
            <sz val="9"/>
            <rFont val="Tahoma"/>
            <family val="2"/>
          </rPr>
          <t xml:space="preserve">
Note: Typically would exclude internship and D/S, I/S courses</t>
        </r>
      </text>
    </comment>
    <comment ref="J54" authorId="0">
      <text>
        <r>
          <rPr>
            <b/>
            <sz val="9"/>
            <rFont val="Tahoma"/>
            <family val="2"/>
          </rPr>
          <t>Author:</t>
        </r>
        <r>
          <rPr>
            <sz val="9"/>
            <rFont val="Tahoma"/>
            <family val="2"/>
          </rPr>
          <t xml:space="preserve">
Note: Typically would exclude internship and D/S, I/S courses</t>
        </r>
      </text>
    </comment>
    <comment ref="M54" authorId="0">
      <text>
        <r>
          <rPr>
            <b/>
            <sz val="9"/>
            <rFont val="Tahoma"/>
            <family val="2"/>
          </rPr>
          <t>Author:</t>
        </r>
        <r>
          <rPr>
            <sz val="9"/>
            <rFont val="Tahoma"/>
            <family val="2"/>
          </rPr>
          <t xml:space="preserve">
Note: Typically would exclude internship and D/S, I/S courses</t>
        </r>
      </text>
    </comment>
  </commentList>
</comments>
</file>

<file path=xl/comments35.xml><?xml version="1.0" encoding="utf-8"?>
<comments xmlns="http://schemas.openxmlformats.org/spreadsheetml/2006/main">
  <authors>
    <author>Author</author>
  </authors>
  <commentList>
    <comment ref="F33" authorId="0">
      <text>
        <r>
          <rPr>
            <b/>
            <sz val="9"/>
            <rFont val="Tahoma"/>
            <family val="2"/>
          </rPr>
          <t>Author:</t>
        </r>
        <r>
          <rPr>
            <sz val="9"/>
            <rFont val="Tahoma"/>
            <family val="2"/>
          </rPr>
          <t xml:space="preserve">
APS uses 30 for full-time instructional load</t>
        </r>
      </text>
    </comment>
    <comment ref="F38" authorId="0">
      <text>
        <r>
          <rPr>
            <b/>
            <sz val="9"/>
            <rFont val="Tahoma"/>
            <family val="2"/>
          </rPr>
          <t>Author:</t>
        </r>
        <r>
          <rPr>
            <sz val="9"/>
            <rFont val="Tahoma"/>
            <family val="2"/>
          </rPr>
          <t xml:space="preserve">
APS uses 30 for full-time instructional load</t>
        </r>
      </text>
    </comment>
    <comment ref="G54" authorId="0">
      <text>
        <r>
          <rPr>
            <b/>
            <sz val="9"/>
            <rFont val="Tahoma"/>
            <family val="2"/>
          </rPr>
          <t>Author:</t>
        </r>
        <r>
          <rPr>
            <sz val="9"/>
            <rFont val="Tahoma"/>
            <family val="2"/>
          </rPr>
          <t xml:space="preserve">
Note: Typically would exclude internship and D/S, I/S courses</t>
        </r>
      </text>
    </comment>
    <comment ref="J54" authorId="0">
      <text>
        <r>
          <rPr>
            <b/>
            <sz val="9"/>
            <rFont val="Tahoma"/>
            <family val="2"/>
          </rPr>
          <t>Author:</t>
        </r>
        <r>
          <rPr>
            <sz val="9"/>
            <rFont val="Tahoma"/>
            <family val="2"/>
          </rPr>
          <t xml:space="preserve">
Note: Typically would exclude internship and D/S, I/S courses</t>
        </r>
      </text>
    </comment>
    <comment ref="M54" authorId="0">
      <text>
        <r>
          <rPr>
            <b/>
            <sz val="9"/>
            <rFont val="Tahoma"/>
            <family val="2"/>
          </rPr>
          <t>Author:</t>
        </r>
        <r>
          <rPr>
            <sz val="9"/>
            <rFont val="Tahoma"/>
            <family val="2"/>
          </rPr>
          <t xml:space="preserve">
Note: Typically would exclude internship and D/S, I/S courses</t>
        </r>
      </text>
    </comment>
  </commentList>
</comments>
</file>

<file path=xl/comments36.xml><?xml version="1.0" encoding="utf-8"?>
<comments xmlns="http://schemas.openxmlformats.org/spreadsheetml/2006/main">
  <authors>
    <author>Author</author>
  </authors>
  <commentList>
    <comment ref="F33" authorId="0">
      <text>
        <r>
          <rPr>
            <b/>
            <sz val="9"/>
            <rFont val="Tahoma"/>
            <family val="2"/>
          </rPr>
          <t>Author:</t>
        </r>
        <r>
          <rPr>
            <sz val="9"/>
            <rFont val="Tahoma"/>
            <family val="2"/>
          </rPr>
          <t xml:space="preserve">
APS uses 30 for full-time instructional load</t>
        </r>
      </text>
    </comment>
    <comment ref="F38" authorId="0">
      <text>
        <r>
          <rPr>
            <b/>
            <sz val="9"/>
            <rFont val="Tahoma"/>
            <family val="2"/>
          </rPr>
          <t>Author:</t>
        </r>
        <r>
          <rPr>
            <sz val="9"/>
            <rFont val="Tahoma"/>
            <family val="2"/>
          </rPr>
          <t xml:space="preserve">
APS uses 30 for full-time instructional load</t>
        </r>
      </text>
    </comment>
    <comment ref="G54" authorId="0">
      <text>
        <r>
          <rPr>
            <b/>
            <sz val="9"/>
            <rFont val="Tahoma"/>
            <family val="2"/>
          </rPr>
          <t>Author:</t>
        </r>
        <r>
          <rPr>
            <sz val="9"/>
            <rFont val="Tahoma"/>
            <family val="2"/>
          </rPr>
          <t xml:space="preserve">
Note: Typically would exclude internship and D/S, I/S courses</t>
        </r>
      </text>
    </comment>
    <comment ref="J54" authorId="0">
      <text>
        <r>
          <rPr>
            <b/>
            <sz val="9"/>
            <rFont val="Tahoma"/>
            <family val="2"/>
          </rPr>
          <t>Author:</t>
        </r>
        <r>
          <rPr>
            <sz val="9"/>
            <rFont val="Tahoma"/>
            <family val="2"/>
          </rPr>
          <t xml:space="preserve">
Note: Typically would exclude internship and D/S, I/S courses</t>
        </r>
      </text>
    </comment>
    <comment ref="M54" authorId="0">
      <text>
        <r>
          <rPr>
            <b/>
            <sz val="9"/>
            <rFont val="Tahoma"/>
            <family val="2"/>
          </rPr>
          <t>Author:</t>
        </r>
        <r>
          <rPr>
            <sz val="9"/>
            <rFont val="Tahoma"/>
            <family val="2"/>
          </rPr>
          <t xml:space="preserve">
Note: Typically would exclude internship and D/S, I/S courses</t>
        </r>
      </text>
    </comment>
  </commentList>
</comments>
</file>

<file path=xl/comments37.xml><?xml version="1.0" encoding="utf-8"?>
<comments xmlns="http://schemas.openxmlformats.org/spreadsheetml/2006/main">
  <authors>
    <author>Author</author>
  </authors>
  <commentList>
    <comment ref="F33" authorId="0">
      <text>
        <r>
          <rPr>
            <b/>
            <sz val="9"/>
            <rFont val="Tahoma"/>
            <family val="2"/>
          </rPr>
          <t>Author:</t>
        </r>
        <r>
          <rPr>
            <sz val="9"/>
            <rFont val="Tahoma"/>
            <family val="2"/>
          </rPr>
          <t xml:space="preserve">
APS uses 30 for full-time instructional load</t>
        </r>
      </text>
    </comment>
    <comment ref="F38" authorId="0">
      <text>
        <r>
          <rPr>
            <b/>
            <sz val="9"/>
            <rFont val="Tahoma"/>
            <family val="2"/>
          </rPr>
          <t>Author:</t>
        </r>
        <r>
          <rPr>
            <sz val="9"/>
            <rFont val="Tahoma"/>
            <family val="2"/>
          </rPr>
          <t xml:space="preserve">
APS uses 30 for full-time instructional load</t>
        </r>
      </text>
    </comment>
    <comment ref="G54" authorId="0">
      <text>
        <r>
          <rPr>
            <b/>
            <sz val="9"/>
            <rFont val="Tahoma"/>
            <family val="2"/>
          </rPr>
          <t>Author:</t>
        </r>
        <r>
          <rPr>
            <sz val="9"/>
            <rFont val="Tahoma"/>
            <family val="2"/>
          </rPr>
          <t xml:space="preserve">
Note: Typically would exclude internship and D/S, I/S courses</t>
        </r>
      </text>
    </comment>
    <comment ref="J54" authorId="0">
      <text>
        <r>
          <rPr>
            <b/>
            <sz val="9"/>
            <rFont val="Tahoma"/>
            <family val="2"/>
          </rPr>
          <t>Author:</t>
        </r>
        <r>
          <rPr>
            <sz val="9"/>
            <rFont val="Tahoma"/>
            <family val="2"/>
          </rPr>
          <t xml:space="preserve">
Note: Typically would exclude internship and D/S, I/S courses</t>
        </r>
      </text>
    </comment>
    <comment ref="M54" authorId="0">
      <text>
        <r>
          <rPr>
            <b/>
            <sz val="9"/>
            <rFont val="Tahoma"/>
            <family val="2"/>
          </rPr>
          <t>Author:</t>
        </r>
        <r>
          <rPr>
            <sz val="9"/>
            <rFont val="Tahoma"/>
            <family val="2"/>
          </rPr>
          <t xml:space="preserve">
Note: Typically would exclude internship and D/S, I/S courses</t>
        </r>
      </text>
    </comment>
  </commentList>
</comments>
</file>

<file path=xl/comments38.xml><?xml version="1.0" encoding="utf-8"?>
<comments xmlns="http://schemas.openxmlformats.org/spreadsheetml/2006/main">
  <authors>
    <author>Author</author>
  </authors>
  <commentList>
    <comment ref="F33" authorId="0">
      <text>
        <r>
          <rPr>
            <b/>
            <sz val="9"/>
            <rFont val="Tahoma"/>
            <family val="2"/>
          </rPr>
          <t>Author:</t>
        </r>
        <r>
          <rPr>
            <sz val="9"/>
            <rFont val="Tahoma"/>
            <family val="2"/>
          </rPr>
          <t xml:space="preserve">
APS uses 30 for full-time instructional load</t>
        </r>
      </text>
    </comment>
    <comment ref="F38" authorId="0">
      <text>
        <r>
          <rPr>
            <b/>
            <sz val="9"/>
            <rFont val="Tahoma"/>
            <family val="2"/>
          </rPr>
          <t>Author:</t>
        </r>
        <r>
          <rPr>
            <sz val="9"/>
            <rFont val="Tahoma"/>
            <family val="2"/>
          </rPr>
          <t xml:space="preserve">
APS uses 30 for full-time instructional load</t>
        </r>
      </text>
    </comment>
    <comment ref="G54" authorId="0">
      <text>
        <r>
          <rPr>
            <b/>
            <sz val="9"/>
            <rFont val="Tahoma"/>
            <family val="2"/>
          </rPr>
          <t>Author:</t>
        </r>
        <r>
          <rPr>
            <sz val="9"/>
            <rFont val="Tahoma"/>
            <family val="2"/>
          </rPr>
          <t xml:space="preserve">
Note: Typically would exclude internship and D/S, I/S courses</t>
        </r>
      </text>
    </comment>
    <comment ref="J54" authorId="0">
      <text>
        <r>
          <rPr>
            <b/>
            <sz val="9"/>
            <rFont val="Tahoma"/>
            <family val="2"/>
          </rPr>
          <t>Author:</t>
        </r>
        <r>
          <rPr>
            <sz val="9"/>
            <rFont val="Tahoma"/>
            <family val="2"/>
          </rPr>
          <t xml:space="preserve">
Note: Typically would exclude internship and D/S, I/S courses</t>
        </r>
      </text>
    </comment>
    <comment ref="M54" authorId="0">
      <text>
        <r>
          <rPr>
            <b/>
            <sz val="9"/>
            <rFont val="Tahoma"/>
            <family val="2"/>
          </rPr>
          <t>Author:</t>
        </r>
        <r>
          <rPr>
            <sz val="9"/>
            <rFont val="Tahoma"/>
            <family val="2"/>
          </rPr>
          <t xml:space="preserve">
Note: Typically would exclude internship and D/S, I/S courses</t>
        </r>
      </text>
    </comment>
  </commentList>
</comments>
</file>

<file path=xl/comments39.xml><?xml version="1.0" encoding="utf-8"?>
<comments xmlns="http://schemas.openxmlformats.org/spreadsheetml/2006/main">
  <authors>
    <author>Author</author>
  </authors>
  <commentList>
    <comment ref="G13" authorId="0">
      <text>
        <r>
          <rPr>
            <b/>
            <sz val="9"/>
            <rFont val="Tahoma"/>
            <family val="2"/>
          </rPr>
          <t>Author:</t>
        </r>
        <r>
          <rPr>
            <sz val="9"/>
            <rFont val="Tahoma"/>
            <family val="2"/>
          </rPr>
          <t xml:space="preserve">
"BAB undecided" and "pre" degrees removed from majors offerred.  Considered "undeclared" (row 15) for count purposes
</t>
        </r>
      </text>
    </comment>
    <comment ref="F33" authorId="0">
      <text>
        <r>
          <rPr>
            <b/>
            <sz val="9"/>
            <rFont val="Tahoma"/>
            <family val="2"/>
          </rPr>
          <t>Author:</t>
        </r>
        <r>
          <rPr>
            <sz val="9"/>
            <rFont val="Tahoma"/>
            <family val="2"/>
          </rPr>
          <t xml:space="preserve">
APS uses 30 for full-time instructional load</t>
        </r>
      </text>
    </comment>
    <comment ref="F38" authorId="0">
      <text>
        <r>
          <rPr>
            <b/>
            <sz val="9"/>
            <rFont val="Tahoma"/>
            <family val="2"/>
          </rPr>
          <t>Author:</t>
        </r>
        <r>
          <rPr>
            <sz val="9"/>
            <rFont val="Tahoma"/>
            <family val="2"/>
          </rPr>
          <t xml:space="preserve">
APS uses 30 for full-time instructional load</t>
        </r>
      </text>
    </comment>
    <comment ref="G54" authorId="0">
      <text>
        <r>
          <rPr>
            <b/>
            <sz val="9"/>
            <rFont val="Tahoma"/>
            <family val="2"/>
          </rPr>
          <t>Author:</t>
        </r>
        <r>
          <rPr>
            <sz val="9"/>
            <rFont val="Tahoma"/>
            <family val="2"/>
          </rPr>
          <t xml:space="preserve">
Note: Typically would exclude internship and D/S, I/S courses</t>
        </r>
      </text>
    </comment>
    <comment ref="J54" authorId="0">
      <text>
        <r>
          <rPr>
            <b/>
            <sz val="9"/>
            <rFont val="Tahoma"/>
            <family val="2"/>
          </rPr>
          <t>Author:</t>
        </r>
        <r>
          <rPr>
            <sz val="9"/>
            <rFont val="Tahoma"/>
            <family val="2"/>
          </rPr>
          <t xml:space="preserve">
Note: Typically would exclude internship and D/S, I/S courses</t>
        </r>
      </text>
    </comment>
    <comment ref="M54" authorId="0">
      <text>
        <r>
          <rPr>
            <b/>
            <sz val="9"/>
            <rFont val="Tahoma"/>
            <family val="2"/>
          </rPr>
          <t>Author:</t>
        </r>
        <r>
          <rPr>
            <sz val="9"/>
            <rFont val="Tahoma"/>
            <family val="2"/>
          </rPr>
          <t xml:space="preserve">
Note: Typically would exclude internship and D/S, I/S courses</t>
        </r>
      </text>
    </comment>
  </commentList>
</comments>
</file>

<file path=xl/comments40.xml><?xml version="1.0" encoding="utf-8"?>
<comments xmlns="http://schemas.openxmlformats.org/spreadsheetml/2006/main">
  <authors>
    <author>Author</author>
  </authors>
  <commentList>
    <comment ref="F33" authorId="0">
      <text>
        <r>
          <rPr>
            <b/>
            <sz val="9"/>
            <rFont val="Tahoma"/>
            <family val="2"/>
          </rPr>
          <t>Author:</t>
        </r>
        <r>
          <rPr>
            <sz val="9"/>
            <rFont val="Tahoma"/>
            <family val="2"/>
          </rPr>
          <t xml:space="preserve">
APS uses 30 for full-time instructional load</t>
        </r>
      </text>
    </comment>
    <comment ref="F38" authorId="0">
      <text>
        <r>
          <rPr>
            <b/>
            <sz val="9"/>
            <rFont val="Tahoma"/>
            <family val="2"/>
          </rPr>
          <t>Author:</t>
        </r>
        <r>
          <rPr>
            <sz val="9"/>
            <rFont val="Tahoma"/>
            <family val="2"/>
          </rPr>
          <t xml:space="preserve">
APS uses 30 for full-time instructional load</t>
        </r>
      </text>
    </comment>
    <comment ref="G54" authorId="0">
      <text>
        <r>
          <rPr>
            <b/>
            <sz val="9"/>
            <rFont val="Tahoma"/>
            <family val="2"/>
          </rPr>
          <t>Author:</t>
        </r>
        <r>
          <rPr>
            <sz val="9"/>
            <rFont val="Tahoma"/>
            <family val="2"/>
          </rPr>
          <t xml:space="preserve">
Note: Typically would exclude internship and D/S, I/S courses</t>
        </r>
      </text>
    </comment>
    <comment ref="J54" authorId="0">
      <text>
        <r>
          <rPr>
            <b/>
            <sz val="9"/>
            <rFont val="Tahoma"/>
            <family val="2"/>
          </rPr>
          <t>Author:</t>
        </r>
        <r>
          <rPr>
            <sz val="9"/>
            <rFont val="Tahoma"/>
            <family val="2"/>
          </rPr>
          <t xml:space="preserve">
Note: Typically would exclude internship and D/S, I/S courses</t>
        </r>
      </text>
    </comment>
    <comment ref="M54" authorId="0">
      <text>
        <r>
          <rPr>
            <b/>
            <sz val="9"/>
            <rFont val="Tahoma"/>
            <family val="2"/>
          </rPr>
          <t>Author:</t>
        </r>
        <r>
          <rPr>
            <sz val="9"/>
            <rFont val="Tahoma"/>
            <family val="2"/>
          </rPr>
          <t xml:space="preserve">
Note: Typically would exclude internship and D/S, I/S courses</t>
        </r>
      </text>
    </comment>
  </commentList>
</comments>
</file>

<file path=xl/comments41.xml><?xml version="1.0" encoding="utf-8"?>
<comments xmlns="http://schemas.openxmlformats.org/spreadsheetml/2006/main">
  <authors>
    <author>Author</author>
  </authors>
  <commentList>
    <comment ref="F33" authorId="0">
      <text>
        <r>
          <rPr>
            <b/>
            <sz val="9"/>
            <rFont val="Tahoma"/>
            <family val="2"/>
          </rPr>
          <t>Author:</t>
        </r>
        <r>
          <rPr>
            <sz val="9"/>
            <rFont val="Tahoma"/>
            <family val="2"/>
          </rPr>
          <t xml:space="preserve">
APS uses 30 for full-time instructional load</t>
        </r>
      </text>
    </comment>
    <comment ref="F38" authorId="0">
      <text>
        <r>
          <rPr>
            <b/>
            <sz val="9"/>
            <rFont val="Tahoma"/>
            <family val="2"/>
          </rPr>
          <t>Author:</t>
        </r>
        <r>
          <rPr>
            <sz val="9"/>
            <rFont val="Tahoma"/>
            <family val="2"/>
          </rPr>
          <t xml:space="preserve">
APS uses 30 for full-time instructional load</t>
        </r>
      </text>
    </comment>
    <comment ref="G54" authorId="0">
      <text>
        <r>
          <rPr>
            <b/>
            <sz val="9"/>
            <rFont val="Tahoma"/>
            <family val="2"/>
          </rPr>
          <t>Author:</t>
        </r>
        <r>
          <rPr>
            <sz val="9"/>
            <rFont val="Tahoma"/>
            <family val="2"/>
          </rPr>
          <t xml:space="preserve">
Note: Typically would exclude internship and D/S, I/S courses</t>
        </r>
      </text>
    </comment>
    <comment ref="J54" authorId="0">
      <text>
        <r>
          <rPr>
            <b/>
            <sz val="9"/>
            <rFont val="Tahoma"/>
            <family val="2"/>
          </rPr>
          <t>Author:</t>
        </r>
        <r>
          <rPr>
            <sz val="9"/>
            <rFont val="Tahoma"/>
            <family val="2"/>
          </rPr>
          <t xml:space="preserve">
Note: Typically would exclude internship and D/S, I/S courses</t>
        </r>
      </text>
    </comment>
    <comment ref="M54" authorId="0">
      <text>
        <r>
          <rPr>
            <b/>
            <sz val="9"/>
            <rFont val="Tahoma"/>
            <family val="2"/>
          </rPr>
          <t>Author:</t>
        </r>
        <r>
          <rPr>
            <sz val="9"/>
            <rFont val="Tahoma"/>
            <family val="2"/>
          </rPr>
          <t xml:space="preserve">
Note: Typically would exclude internship and D/S, I/S courses</t>
        </r>
      </text>
    </comment>
  </commentList>
</comments>
</file>

<file path=xl/comments42.xml><?xml version="1.0" encoding="utf-8"?>
<comments xmlns="http://schemas.openxmlformats.org/spreadsheetml/2006/main">
  <authors>
    <author>Author</author>
  </authors>
  <commentList>
    <comment ref="F33" authorId="0">
      <text>
        <r>
          <rPr>
            <b/>
            <sz val="9"/>
            <rFont val="Tahoma"/>
            <family val="2"/>
          </rPr>
          <t>Author:</t>
        </r>
        <r>
          <rPr>
            <sz val="9"/>
            <rFont val="Tahoma"/>
            <family val="2"/>
          </rPr>
          <t xml:space="preserve">
APS uses 30 for full-time instructional load</t>
        </r>
      </text>
    </comment>
    <comment ref="F38" authorId="0">
      <text>
        <r>
          <rPr>
            <b/>
            <sz val="9"/>
            <rFont val="Tahoma"/>
            <family val="2"/>
          </rPr>
          <t>Author:</t>
        </r>
        <r>
          <rPr>
            <sz val="9"/>
            <rFont val="Tahoma"/>
            <family val="2"/>
          </rPr>
          <t xml:space="preserve">
APS uses 30 for full-time instructional load</t>
        </r>
      </text>
    </comment>
    <comment ref="G54" authorId="0">
      <text>
        <r>
          <rPr>
            <b/>
            <sz val="9"/>
            <rFont val="Tahoma"/>
            <family val="2"/>
          </rPr>
          <t>Author:</t>
        </r>
        <r>
          <rPr>
            <sz val="9"/>
            <rFont val="Tahoma"/>
            <family val="2"/>
          </rPr>
          <t xml:space="preserve">
Note: Typically would exclude internship and D/S, I/S courses</t>
        </r>
      </text>
    </comment>
    <comment ref="J54" authorId="0">
      <text>
        <r>
          <rPr>
            <b/>
            <sz val="9"/>
            <rFont val="Tahoma"/>
            <family val="2"/>
          </rPr>
          <t>Author:</t>
        </r>
        <r>
          <rPr>
            <sz val="9"/>
            <rFont val="Tahoma"/>
            <family val="2"/>
          </rPr>
          <t xml:space="preserve">
Note: Typically would exclude internship and D/S, I/S courses</t>
        </r>
      </text>
    </comment>
    <comment ref="M54" authorId="0">
      <text>
        <r>
          <rPr>
            <b/>
            <sz val="9"/>
            <rFont val="Tahoma"/>
            <family val="2"/>
          </rPr>
          <t>Author:</t>
        </r>
        <r>
          <rPr>
            <sz val="9"/>
            <rFont val="Tahoma"/>
            <family val="2"/>
          </rPr>
          <t xml:space="preserve">
Note: Typically would exclude internship and D/S, I/S courses</t>
        </r>
      </text>
    </comment>
  </commentList>
</comments>
</file>

<file path=xl/comments43.xml><?xml version="1.0" encoding="utf-8"?>
<comments xmlns="http://schemas.openxmlformats.org/spreadsheetml/2006/main">
  <authors>
    <author>Author</author>
  </authors>
  <commentList>
    <comment ref="F33" authorId="0">
      <text>
        <r>
          <rPr>
            <b/>
            <sz val="9"/>
            <rFont val="Tahoma"/>
            <family val="2"/>
          </rPr>
          <t>Author:</t>
        </r>
        <r>
          <rPr>
            <sz val="9"/>
            <rFont val="Tahoma"/>
            <family val="2"/>
          </rPr>
          <t xml:space="preserve">
APS uses 30 for full-time instructional load</t>
        </r>
      </text>
    </comment>
    <comment ref="F38" authorId="0">
      <text>
        <r>
          <rPr>
            <b/>
            <sz val="9"/>
            <rFont val="Tahoma"/>
            <family val="2"/>
          </rPr>
          <t>Author:</t>
        </r>
        <r>
          <rPr>
            <sz val="9"/>
            <rFont val="Tahoma"/>
            <family val="2"/>
          </rPr>
          <t xml:space="preserve">
APS uses 30 for full-time instructional load</t>
        </r>
      </text>
    </comment>
    <comment ref="G54" authorId="0">
      <text>
        <r>
          <rPr>
            <b/>
            <sz val="9"/>
            <rFont val="Tahoma"/>
            <family val="2"/>
          </rPr>
          <t>Author:</t>
        </r>
        <r>
          <rPr>
            <sz val="9"/>
            <rFont val="Tahoma"/>
            <family val="2"/>
          </rPr>
          <t xml:space="preserve">
Note: Typically would exclude internship and D/S, I/S courses</t>
        </r>
      </text>
    </comment>
    <comment ref="J54" authorId="0">
      <text>
        <r>
          <rPr>
            <b/>
            <sz val="9"/>
            <rFont val="Tahoma"/>
            <family val="2"/>
          </rPr>
          <t>Author:</t>
        </r>
        <r>
          <rPr>
            <sz val="9"/>
            <rFont val="Tahoma"/>
            <family val="2"/>
          </rPr>
          <t xml:space="preserve">
Note: Typically would exclude internship and D/S, I/S courses</t>
        </r>
      </text>
    </comment>
    <comment ref="M54" authorId="0">
      <text>
        <r>
          <rPr>
            <b/>
            <sz val="9"/>
            <rFont val="Tahoma"/>
            <family val="2"/>
          </rPr>
          <t>Author:</t>
        </r>
        <r>
          <rPr>
            <sz val="9"/>
            <rFont val="Tahoma"/>
            <family val="2"/>
          </rPr>
          <t xml:space="preserve">
Note: Typically would exclude internship and D/S, I/S courses</t>
        </r>
      </text>
    </comment>
  </commentList>
</comments>
</file>

<file path=xl/comments44.xml><?xml version="1.0" encoding="utf-8"?>
<comments xmlns="http://schemas.openxmlformats.org/spreadsheetml/2006/main">
  <authors>
    <author>Author</author>
  </authors>
  <commentList>
    <comment ref="F33" authorId="0">
      <text>
        <r>
          <rPr>
            <b/>
            <sz val="9"/>
            <rFont val="Tahoma"/>
            <family val="2"/>
          </rPr>
          <t>Author:</t>
        </r>
        <r>
          <rPr>
            <sz val="9"/>
            <rFont val="Tahoma"/>
            <family val="2"/>
          </rPr>
          <t xml:space="preserve">
APS uses 30 for full-time instructional load</t>
        </r>
      </text>
    </comment>
    <comment ref="F38" authorId="0">
      <text>
        <r>
          <rPr>
            <b/>
            <sz val="9"/>
            <rFont val="Tahoma"/>
            <family val="2"/>
          </rPr>
          <t>Author:</t>
        </r>
        <r>
          <rPr>
            <sz val="9"/>
            <rFont val="Tahoma"/>
            <family val="2"/>
          </rPr>
          <t xml:space="preserve">
APS uses 30 for full-time instructional load</t>
        </r>
      </text>
    </comment>
    <comment ref="G54" authorId="0">
      <text>
        <r>
          <rPr>
            <b/>
            <sz val="9"/>
            <rFont val="Tahoma"/>
            <family val="2"/>
          </rPr>
          <t>Author:</t>
        </r>
        <r>
          <rPr>
            <sz val="9"/>
            <rFont val="Tahoma"/>
            <family val="2"/>
          </rPr>
          <t xml:space="preserve">
Note: Typically would exclude internship and D/S, I/S courses</t>
        </r>
      </text>
    </comment>
    <comment ref="J54" authorId="0">
      <text>
        <r>
          <rPr>
            <b/>
            <sz val="9"/>
            <rFont val="Tahoma"/>
            <family val="2"/>
          </rPr>
          <t>Author:</t>
        </r>
        <r>
          <rPr>
            <sz val="9"/>
            <rFont val="Tahoma"/>
            <family val="2"/>
          </rPr>
          <t xml:space="preserve">
Note: Typically would exclude internship and D/S, I/S courses</t>
        </r>
      </text>
    </comment>
    <comment ref="M54" authorId="0">
      <text>
        <r>
          <rPr>
            <b/>
            <sz val="9"/>
            <rFont val="Tahoma"/>
            <family val="2"/>
          </rPr>
          <t>Author:</t>
        </r>
        <r>
          <rPr>
            <sz val="9"/>
            <rFont val="Tahoma"/>
            <family val="2"/>
          </rPr>
          <t xml:space="preserve">
Note: Typically would exclude internship and D/S, I/S courses</t>
        </r>
      </text>
    </comment>
  </commentList>
</comments>
</file>

<file path=xl/comments45.xml><?xml version="1.0" encoding="utf-8"?>
<comments xmlns="http://schemas.openxmlformats.org/spreadsheetml/2006/main">
  <authors>
    <author>Author</author>
  </authors>
  <commentList>
    <comment ref="F33" authorId="0">
      <text>
        <r>
          <rPr>
            <b/>
            <sz val="9"/>
            <rFont val="Tahoma"/>
            <family val="2"/>
          </rPr>
          <t>Author:</t>
        </r>
        <r>
          <rPr>
            <sz val="9"/>
            <rFont val="Tahoma"/>
            <family val="2"/>
          </rPr>
          <t xml:space="preserve">
APS uses 30 for full-time instructional load</t>
        </r>
      </text>
    </comment>
    <comment ref="F38" authorId="0">
      <text>
        <r>
          <rPr>
            <b/>
            <sz val="9"/>
            <rFont val="Tahoma"/>
            <family val="2"/>
          </rPr>
          <t>Author:</t>
        </r>
        <r>
          <rPr>
            <sz val="9"/>
            <rFont val="Tahoma"/>
            <family val="2"/>
          </rPr>
          <t xml:space="preserve">
APS uses 30 for full-time instructional load</t>
        </r>
      </text>
    </comment>
    <comment ref="G54" authorId="0">
      <text>
        <r>
          <rPr>
            <b/>
            <sz val="9"/>
            <rFont val="Tahoma"/>
            <family val="2"/>
          </rPr>
          <t>Author:</t>
        </r>
        <r>
          <rPr>
            <sz val="9"/>
            <rFont val="Tahoma"/>
            <family val="2"/>
          </rPr>
          <t xml:space="preserve">
Note: Typically would exclude internship and D/S, I/S courses</t>
        </r>
      </text>
    </comment>
    <comment ref="J54" authorId="0">
      <text>
        <r>
          <rPr>
            <b/>
            <sz val="9"/>
            <rFont val="Tahoma"/>
            <family val="2"/>
          </rPr>
          <t>Author:</t>
        </r>
        <r>
          <rPr>
            <sz val="9"/>
            <rFont val="Tahoma"/>
            <family val="2"/>
          </rPr>
          <t xml:space="preserve">
Note: Typically would exclude internship and D/S, I/S courses</t>
        </r>
      </text>
    </comment>
    <comment ref="M54" authorId="0">
      <text>
        <r>
          <rPr>
            <b/>
            <sz val="9"/>
            <rFont val="Tahoma"/>
            <family val="2"/>
          </rPr>
          <t>Author:</t>
        </r>
        <r>
          <rPr>
            <sz val="9"/>
            <rFont val="Tahoma"/>
            <family val="2"/>
          </rPr>
          <t xml:space="preserve">
Note: Typically would exclude internship and D/S, I/S courses</t>
        </r>
      </text>
    </comment>
  </commentList>
</comments>
</file>

<file path=xl/comments46.xml><?xml version="1.0" encoding="utf-8"?>
<comments xmlns="http://schemas.openxmlformats.org/spreadsheetml/2006/main">
  <authors>
    <author>Author</author>
  </authors>
  <commentList>
    <comment ref="F33" authorId="0">
      <text>
        <r>
          <rPr>
            <b/>
            <sz val="9"/>
            <rFont val="Tahoma"/>
            <family val="2"/>
          </rPr>
          <t>Author:</t>
        </r>
        <r>
          <rPr>
            <sz val="9"/>
            <rFont val="Tahoma"/>
            <family val="2"/>
          </rPr>
          <t xml:space="preserve">
APS uses 30 for full-time instructional load</t>
        </r>
      </text>
    </comment>
    <comment ref="F38" authorId="0">
      <text>
        <r>
          <rPr>
            <b/>
            <sz val="9"/>
            <rFont val="Tahoma"/>
            <family val="2"/>
          </rPr>
          <t>Author:</t>
        </r>
        <r>
          <rPr>
            <sz val="9"/>
            <rFont val="Tahoma"/>
            <family val="2"/>
          </rPr>
          <t xml:space="preserve">
APS uses 30 for full-time instructional load</t>
        </r>
      </text>
    </comment>
    <comment ref="M46" authorId="0">
      <text>
        <r>
          <rPr>
            <b/>
            <sz val="9"/>
            <rFont val="Tahoma"/>
            <family val="2"/>
          </rPr>
          <t>Author:</t>
        </r>
        <r>
          <rPr>
            <sz val="9"/>
            <rFont val="Tahoma"/>
            <family val="2"/>
          </rPr>
          <t xml:space="preserve">
Same as 2018
</t>
        </r>
      </text>
    </comment>
    <comment ref="G54" authorId="0">
      <text>
        <r>
          <rPr>
            <b/>
            <sz val="9"/>
            <rFont val="Tahoma"/>
            <family val="2"/>
          </rPr>
          <t>Author:</t>
        </r>
        <r>
          <rPr>
            <sz val="9"/>
            <rFont val="Tahoma"/>
            <family val="2"/>
          </rPr>
          <t xml:space="preserve">
Note: Typically would exclude internship and D/S, I/S courses</t>
        </r>
      </text>
    </comment>
    <comment ref="J54" authorId="0">
      <text>
        <r>
          <rPr>
            <b/>
            <sz val="9"/>
            <rFont val="Tahoma"/>
            <family val="2"/>
          </rPr>
          <t>Author:</t>
        </r>
        <r>
          <rPr>
            <sz val="9"/>
            <rFont val="Tahoma"/>
            <family val="2"/>
          </rPr>
          <t xml:space="preserve">
Note: Typically would exclude internship and D/S, I/S courses</t>
        </r>
      </text>
    </comment>
    <comment ref="M54" authorId="0">
      <text>
        <r>
          <rPr>
            <b/>
            <sz val="9"/>
            <rFont val="Tahoma"/>
            <family val="2"/>
          </rPr>
          <t>Author:</t>
        </r>
        <r>
          <rPr>
            <sz val="9"/>
            <rFont val="Tahoma"/>
            <family val="2"/>
          </rPr>
          <t xml:space="preserve">
Note: Typically would exclude internship and D/S, I/S courses</t>
        </r>
      </text>
    </comment>
  </commentList>
</comments>
</file>

<file path=xl/comments47.xml><?xml version="1.0" encoding="utf-8"?>
<comments xmlns="http://schemas.openxmlformats.org/spreadsheetml/2006/main">
  <authors>
    <author>Author</author>
  </authors>
  <commentList>
    <comment ref="F33" authorId="0">
      <text>
        <r>
          <rPr>
            <b/>
            <sz val="9"/>
            <rFont val="Tahoma"/>
            <family val="2"/>
          </rPr>
          <t>Author:</t>
        </r>
        <r>
          <rPr>
            <sz val="9"/>
            <rFont val="Tahoma"/>
            <family val="2"/>
          </rPr>
          <t xml:space="preserve">
APS uses 30 for full-time instructional load</t>
        </r>
      </text>
    </comment>
    <comment ref="F38" authorId="0">
      <text>
        <r>
          <rPr>
            <b/>
            <sz val="9"/>
            <rFont val="Tahoma"/>
            <family val="2"/>
          </rPr>
          <t>Author:</t>
        </r>
        <r>
          <rPr>
            <sz val="9"/>
            <rFont val="Tahoma"/>
            <family val="2"/>
          </rPr>
          <t xml:space="preserve">
APS uses 30 for full-time instructional load</t>
        </r>
      </text>
    </comment>
    <comment ref="G54" authorId="0">
      <text>
        <r>
          <rPr>
            <b/>
            <sz val="9"/>
            <rFont val="Tahoma"/>
            <family val="2"/>
          </rPr>
          <t>Author:</t>
        </r>
        <r>
          <rPr>
            <sz val="9"/>
            <rFont val="Tahoma"/>
            <family val="2"/>
          </rPr>
          <t xml:space="preserve">
Note: Typically would exclude internship and D/S, I/S courses</t>
        </r>
      </text>
    </comment>
    <comment ref="J54" authorId="0">
      <text>
        <r>
          <rPr>
            <b/>
            <sz val="9"/>
            <rFont val="Tahoma"/>
            <family val="2"/>
          </rPr>
          <t>Author:</t>
        </r>
        <r>
          <rPr>
            <sz val="9"/>
            <rFont val="Tahoma"/>
            <family val="2"/>
          </rPr>
          <t xml:space="preserve">
Note: Typically would exclude internship and D/S, I/S courses</t>
        </r>
      </text>
    </comment>
    <comment ref="M54" authorId="0">
      <text>
        <r>
          <rPr>
            <b/>
            <sz val="9"/>
            <rFont val="Tahoma"/>
            <family val="2"/>
          </rPr>
          <t>Author:</t>
        </r>
        <r>
          <rPr>
            <sz val="9"/>
            <rFont val="Tahoma"/>
            <family val="2"/>
          </rPr>
          <t xml:space="preserve">
Note: Typically would exclude internship and D/S, I/S courses</t>
        </r>
      </text>
    </comment>
  </commentList>
</comments>
</file>

<file path=xl/comments48.xml><?xml version="1.0" encoding="utf-8"?>
<comments xmlns="http://schemas.openxmlformats.org/spreadsheetml/2006/main">
  <authors>
    <author>Author</author>
  </authors>
  <commentList>
    <comment ref="F33" authorId="0">
      <text>
        <r>
          <rPr>
            <b/>
            <sz val="9"/>
            <rFont val="Tahoma"/>
            <family val="2"/>
          </rPr>
          <t>Author:</t>
        </r>
        <r>
          <rPr>
            <sz val="9"/>
            <rFont val="Tahoma"/>
            <family val="2"/>
          </rPr>
          <t xml:space="preserve">
APS uses 30 for full-time instructional load</t>
        </r>
      </text>
    </comment>
    <comment ref="F38" authorId="0">
      <text>
        <r>
          <rPr>
            <b/>
            <sz val="9"/>
            <rFont val="Tahoma"/>
            <family val="2"/>
          </rPr>
          <t>Author:</t>
        </r>
        <r>
          <rPr>
            <sz val="9"/>
            <rFont val="Tahoma"/>
            <family val="2"/>
          </rPr>
          <t xml:space="preserve">
APS uses 30 for full-time instructional load</t>
        </r>
      </text>
    </comment>
    <comment ref="G54" authorId="0">
      <text>
        <r>
          <rPr>
            <b/>
            <sz val="9"/>
            <rFont val="Tahoma"/>
            <family val="2"/>
          </rPr>
          <t>Author:</t>
        </r>
        <r>
          <rPr>
            <sz val="9"/>
            <rFont val="Tahoma"/>
            <family val="2"/>
          </rPr>
          <t xml:space="preserve">
Note: Typically would exclude internship and D/S, I/S courses</t>
        </r>
      </text>
    </comment>
    <comment ref="J54" authorId="0">
      <text>
        <r>
          <rPr>
            <b/>
            <sz val="9"/>
            <rFont val="Tahoma"/>
            <family val="2"/>
          </rPr>
          <t>Author:</t>
        </r>
        <r>
          <rPr>
            <sz val="9"/>
            <rFont val="Tahoma"/>
            <family val="2"/>
          </rPr>
          <t xml:space="preserve">
Note: Typically would exclude internship and D/S, I/S courses</t>
        </r>
      </text>
    </comment>
    <comment ref="M54" authorId="0">
      <text>
        <r>
          <rPr>
            <b/>
            <sz val="9"/>
            <rFont val="Tahoma"/>
            <family val="2"/>
          </rPr>
          <t>Author:</t>
        </r>
        <r>
          <rPr>
            <sz val="9"/>
            <rFont val="Tahoma"/>
            <family val="2"/>
          </rPr>
          <t xml:space="preserve">
Note: Typically would exclude internship and D/S, I/S courses</t>
        </r>
      </text>
    </comment>
  </commentList>
</comments>
</file>

<file path=xl/comments49.xml><?xml version="1.0" encoding="utf-8"?>
<comments xmlns="http://schemas.openxmlformats.org/spreadsheetml/2006/main">
  <authors>
    <author>Author</author>
  </authors>
  <commentList>
    <comment ref="G13" authorId="0">
      <text>
        <r>
          <rPr>
            <b/>
            <sz val="9"/>
            <rFont val="Tahoma"/>
            <family val="2"/>
          </rPr>
          <t>Author:</t>
        </r>
        <r>
          <rPr>
            <sz val="9"/>
            <rFont val="Tahoma"/>
            <family val="2"/>
          </rPr>
          <t xml:space="preserve">
A lot of changes with the recreation name.  The actual count of majors offerred is most likely less</t>
        </r>
      </text>
    </comment>
    <comment ref="F33" authorId="0">
      <text>
        <r>
          <rPr>
            <b/>
            <sz val="9"/>
            <rFont val="Tahoma"/>
            <family val="2"/>
          </rPr>
          <t>Author:</t>
        </r>
        <r>
          <rPr>
            <sz val="9"/>
            <rFont val="Tahoma"/>
            <family val="2"/>
          </rPr>
          <t xml:space="preserve">
APS uses 30 for full-time instructional load</t>
        </r>
      </text>
    </comment>
    <comment ref="F38" authorId="0">
      <text>
        <r>
          <rPr>
            <b/>
            <sz val="9"/>
            <rFont val="Tahoma"/>
            <family val="2"/>
          </rPr>
          <t>Author:</t>
        </r>
        <r>
          <rPr>
            <sz val="9"/>
            <rFont val="Tahoma"/>
            <family val="2"/>
          </rPr>
          <t xml:space="preserve">
APS uses 30 for full-time instructional load</t>
        </r>
      </text>
    </comment>
    <comment ref="G46" authorId="0">
      <text>
        <r>
          <rPr>
            <b/>
            <sz val="9"/>
            <rFont val="Tahoma"/>
            <family val="2"/>
          </rPr>
          <t>Author:</t>
        </r>
        <r>
          <rPr>
            <sz val="9"/>
            <rFont val="Tahoma"/>
            <family val="2"/>
          </rPr>
          <t xml:space="preserve">
per FY20 OG Budget
</t>
        </r>
      </text>
    </comment>
    <comment ref="J46" authorId="0">
      <text>
        <r>
          <rPr>
            <b/>
            <sz val="9"/>
            <rFont val="Tahoma"/>
            <family val="2"/>
          </rPr>
          <t>Author:</t>
        </r>
        <r>
          <rPr>
            <sz val="9"/>
            <rFont val="Tahoma"/>
            <family val="2"/>
          </rPr>
          <t xml:space="preserve">
per FY20 OG Budget
</t>
        </r>
      </text>
    </comment>
    <comment ref="M46" authorId="0">
      <text>
        <r>
          <rPr>
            <b/>
            <sz val="9"/>
            <rFont val="Tahoma"/>
            <family val="2"/>
          </rPr>
          <t>Author:</t>
        </r>
        <r>
          <rPr>
            <sz val="9"/>
            <rFont val="Tahoma"/>
            <family val="2"/>
          </rPr>
          <t xml:space="preserve">
per FY20 OG Budget
</t>
        </r>
      </text>
    </comment>
    <comment ref="G54" authorId="0">
      <text>
        <r>
          <rPr>
            <b/>
            <sz val="9"/>
            <rFont val="Tahoma"/>
            <family val="2"/>
          </rPr>
          <t>Author:</t>
        </r>
        <r>
          <rPr>
            <sz val="9"/>
            <rFont val="Tahoma"/>
            <family val="2"/>
          </rPr>
          <t xml:space="preserve">
Note: Typically would exclude internship and D/S, I/S courses</t>
        </r>
      </text>
    </comment>
    <comment ref="J54" authorId="0">
      <text>
        <r>
          <rPr>
            <b/>
            <sz val="9"/>
            <rFont val="Tahoma"/>
            <family val="2"/>
          </rPr>
          <t>Author:</t>
        </r>
        <r>
          <rPr>
            <sz val="9"/>
            <rFont val="Tahoma"/>
            <family val="2"/>
          </rPr>
          <t xml:space="preserve">
Note: Typically would exclude internship and D/S, I/S courses</t>
        </r>
      </text>
    </comment>
    <comment ref="M54" authorId="0">
      <text>
        <r>
          <rPr>
            <b/>
            <sz val="9"/>
            <rFont val="Tahoma"/>
            <family val="2"/>
          </rPr>
          <t>Author:</t>
        </r>
        <r>
          <rPr>
            <sz val="9"/>
            <rFont val="Tahoma"/>
            <family val="2"/>
          </rPr>
          <t xml:space="preserve">
Note: Typically would exclude internship and D/S, I/S courses</t>
        </r>
      </text>
    </comment>
  </commentList>
</comments>
</file>

<file path=xl/comments50.xml><?xml version="1.0" encoding="utf-8"?>
<comments xmlns="http://schemas.openxmlformats.org/spreadsheetml/2006/main">
  <authors>
    <author>Author</author>
  </authors>
  <commentList>
    <comment ref="M24" authorId="0">
      <text>
        <r>
          <rPr>
            <b/>
            <sz val="9"/>
            <rFont val="Tahoma"/>
            <family val="2"/>
          </rPr>
          <t>Author:</t>
        </r>
        <r>
          <rPr>
            <sz val="9"/>
            <rFont val="Tahoma"/>
            <family val="2"/>
          </rPr>
          <t xml:space="preserve">
NOTE: this is not picking up the undergrad degree, just the masters certificate.  
</t>
        </r>
      </text>
    </comment>
    <comment ref="F33" authorId="0">
      <text>
        <r>
          <rPr>
            <b/>
            <sz val="9"/>
            <rFont val="Tahoma"/>
            <family val="2"/>
          </rPr>
          <t>Author:</t>
        </r>
        <r>
          <rPr>
            <sz val="9"/>
            <rFont val="Tahoma"/>
            <family val="2"/>
          </rPr>
          <t xml:space="preserve">
APS uses 30 for full-time instructional load</t>
        </r>
      </text>
    </comment>
    <comment ref="F38" authorId="0">
      <text>
        <r>
          <rPr>
            <b/>
            <sz val="9"/>
            <rFont val="Tahoma"/>
            <family val="2"/>
          </rPr>
          <t>Author:</t>
        </r>
        <r>
          <rPr>
            <sz val="9"/>
            <rFont val="Tahoma"/>
            <family val="2"/>
          </rPr>
          <t xml:space="preserve">
APS uses 30 for full-time instructional load</t>
        </r>
      </text>
    </comment>
    <comment ref="G46" authorId="0">
      <text>
        <r>
          <rPr>
            <b/>
            <sz val="9"/>
            <rFont val="Tahoma"/>
            <family val="2"/>
          </rPr>
          <t>Author:</t>
        </r>
        <r>
          <rPr>
            <sz val="9"/>
            <rFont val="Tahoma"/>
            <family val="2"/>
          </rPr>
          <t xml:space="preserve">
no chair count used budget report </t>
        </r>
      </text>
    </comment>
    <comment ref="J46" authorId="0">
      <text>
        <r>
          <rPr>
            <b/>
            <sz val="9"/>
            <rFont val="Tahoma"/>
            <family val="2"/>
          </rPr>
          <t>Author:</t>
        </r>
        <r>
          <rPr>
            <sz val="9"/>
            <rFont val="Tahoma"/>
            <family val="2"/>
          </rPr>
          <t xml:space="preserve">
no chair count used budget report </t>
        </r>
      </text>
    </comment>
    <comment ref="M46" authorId="0">
      <text>
        <r>
          <rPr>
            <b/>
            <sz val="9"/>
            <rFont val="Tahoma"/>
            <family val="2"/>
          </rPr>
          <t>Author:</t>
        </r>
        <r>
          <rPr>
            <sz val="9"/>
            <rFont val="Tahoma"/>
            <family val="2"/>
          </rPr>
          <t xml:space="preserve">
used 201</t>
        </r>
      </text>
    </comment>
    <comment ref="G54" authorId="0">
      <text>
        <r>
          <rPr>
            <b/>
            <sz val="9"/>
            <rFont val="Tahoma"/>
            <family val="2"/>
          </rPr>
          <t>Author:</t>
        </r>
        <r>
          <rPr>
            <sz val="9"/>
            <rFont val="Tahoma"/>
            <family val="2"/>
          </rPr>
          <t xml:space="preserve">
Note: Typically would exclude internship and D/S, I/S courses</t>
        </r>
      </text>
    </comment>
    <comment ref="J54" authorId="0">
      <text>
        <r>
          <rPr>
            <b/>
            <sz val="9"/>
            <rFont val="Tahoma"/>
            <family val="2"/>
          </rPr>
          <t>Author:</t>
        </r>
        <r>
          <rPr>
            <sz val="9"/>
            <rFont val="Tahoma"/>
            <family val="2"/>
          </rPr>
          <t xml:space="preserve">
Note: Typically would exclude internship and D/S, I/S courses</t>
        </r>
      </text>
    </comment>
    <comment ref="M54" authorId="0">
      <text>
        <r>
          <rPr>
            <b/>
            <sz val="9"/>
            <rFont val="Tahoma"/>
            <family val="2"/>
          </rPr>
          <t>Author:</t>
        </r>
        <r>
          <rPr>
            <sz val="9"/>
            <rFont val="Tahoma"/>
            <family val="2"/>
          </rPr>
          <t xml:space="preserve">
Note: Typically would exclude internship and D/S, I/S courses</t>
        </r>
      </text>
    </comment>
  </commentList>
</comments>
</file>

<file path=xl/comments7.xml><?xml version="1.0" encoding="utf-8"?>
<comments xmlns="http://schemas.openxmlformats.org/spreadsheetml/2006/main">
  <authors>
    <author>Author</author>
  </authors>
  <commentList>
    <comment ref="H7" authorId="0">
      <text>
        <r>
          <rPr>
            <b/>
            <sz val="9"/>
            <rFont val="Tahoma"/>
            <family val="2"/>
          </rPr>
          <t>Author:</t>
        </r>
        <r>
          <rPr>
            <sz val="9"/>
            <rFont val="Tahoma"/>
            <family val="2"/>
          </rPr>
          <t xml:space="preserve">
APS uses 30 for full-time instructional load</t>
        </r>
      </text>
    </comment>
  </commentList>
</comments>
</file>

<file path=xl/comments9.xml><?xml version="1.0" encoding="utf-8"?>
<comments xmlns="http://schemas.openxmlformats.org/spreadsheetml/2006/main">
  <authors>
    <author>Author</author>
  </authors>
  <commentList>
    <comment ref="B3" authorId="0">
      <text>
        <r>
          <rPr>
            <b/>
            <sz val="9"/>
            <rFont val="Tahoma"/>
            <family val="2"/>
          </rPr>
          <t>Author:</t>
        </r>
        <r>
          <rPr>
            <sz val="9"/>
            <rFont val="Tahoma"/>
            <family val="2"/>
          </rPr>
          <t xml:space="preserve">
APS uses 30 for full-time instructional load</t>
        </r>
      </text>
    </comment>
    <comment ref="L3" authorId="0">
      <text>
        <r>
          <rPr>
            <b/>
            <sz val="9"/>
            <rFont val="Tahoma"/>
            <family val="2"/>
          </rPr>
          <t>Author:</t>
        </r>
        <r>
          <rPr>
            <sz val="9"/>
            <rFont val="Tahoma"/>
            <family val="2"/>
          </rPr>
          <t xml:space="preserve">
APS uses 30 for full-time instructional load</t>
        </r>
      </text>
    </comment>
    <comment ref="V3" authorId="0">
      <text>
        <r>
          <rPr>
            <b/>
            <sz val="9"/>
            <rFont val="Tahoma"/>
            <family val="2"/>
          </rPr>
          <t>Author:</t>
        </r>
        <r>
          <rPr>
            <sz val="9"/>
            <rFont val="Tahoma"/>
            <family val="2"/>
          </rPr>
          <t xml:space="preserve">
APS uses 30 for full-time instructional load</t>
        </r>
      </text>
    </comment>
  </commentList>
</comments>
</file>

<file path=xl/sharedStrings.xml><?xml version="1.0" encoding="utf-8"?>
<sst xmlns="http://schemas.openxmlformats.org/spreadsheetml/2006/main" count="6653" uniqueCount="706">
  <si>
    <t>Distinct Course Change Over Time</t>
  </si>
  <si>
    <t>Comments:</t>
  </si>
  <si>
    <t>Department Characteristics</t>
  </si>
  <si>
    <t>Faculty</t>
  </si>
  <si>
    <t>Courses</t>
  </si>
  <si>
    <t>3 Year Trend Rate of Attempted SCH</t>
  </si>
  <si>
    <t>Departmental Intercurricular Dependencies</t>
  </si>
  <si>
    <t xml:space="preserve">Total Attempted Student Credit Hours (SCH) </t>
  </si>
  <si>
    <t xml:space="preserve">Median Section Class Size </t>
  </si>
  <si>
    <t>Median Section Fill Rate</t>
  </si>
  <si>
    <t>Number of the above courses that are bottlenecks</t>
  </si>
  <si>
    <t>Median Section Class Size (Benchmark)</t>
  </si>
  <si>
    <t>Number of Collapsible Sections</t>
  </si>
  <si>
    <t>Lecturer</t>
  </si>
  <si>
    <t>Fiscal Year</t>
  </si>
  <si>
    <t>Academic Year</t>
  </si>
  <si>
    <t>College</t>
  </si>
  <si>
    <t>Department</t>
  </si>
  <si>
    <t>Date</t>
  </si>
  <si>
    <t>Percentage of Sections with Section Size &lt; 10</t>
  </si>
  <si>
    <t>% of Attempted SCH Taught to Own Majors</t>
  </si>
  <si>
    <t>% of Attempted SCH Taught to Service Majors</t>
  </si>
  <si>
    <t>Current SCH per Full-Time Faculty (FTE)</t>
  </si>
  <si>
    <t>%</t>
  </si>
  <si>
    <t>#</t>
  </si>
  <si>
    <t>Tenture/Track Faculty</t>
  </si>
  <si>
    <t>3 Year Review</t>
  </si>
  <si>
    <t>Source of Data:</t>
  </si>
  <si>
    <r>
      <t xml:space="preserve">APS - Department Scorecard tab, Students section, Enrollment - </t>
    </r>
    <r>
      <rPr>
        <b/>
        <u val="single"/>
        <sz val="9"/>
        <color theme="8"/>
        <rFont val="Verdana"/>
        <family val="2"/>
        <scheme val="minor"/>
      </rPr>
      <t>Total Attempted SCH</t>
    </r>
  </si>
  <si>
    <r>
      <t xml:space="preserve">APS - Department Scorecard tab, Students section, Enrollment - </t>
    </r>
    <r>
      <rPr>
        <b/>
        <u val="single"/>
        <sz val="9"/>
        <color theme="8"/>
        <rFont val="Verdana"/>
        <family val="2"/>
        <scheme val="minor"/>
      </rPr>
      <t>3 yr Trend Rate</t>
    </r>
  </si>
  <si>
    <r>
      <t xml:space="preserve">APS - Department Scorecard tab, Capacity Planning section, Intercurricular Dependencies by Department - </t>
    </r>
    <r>
      <rPr>
        <b/>
        <u val="single"/>
        <sz val="9"/>
        <color theme="8"/>
        <rFont val="Verdana"/>
        <family val="2"/>
        <scheme val="minor"/>
      </rPr>
      <t>% Own Majors</t>
    </r>
  </si>
  <si>
    <t>APS - Department Scorecard tab, Capacity Planning section, Intercurricular Dependencies by Department - % Service Majors</t>
  </si>
  <si>
    <t>Calculation</t>
  </si>
  <si>
    <t>Prepared by</t>
  </si>
  <si>
    <t>APS - Students tab, Course Bottlenecks, Impact of Course Bottlenecks on Course Completion (do you see the courses the faculty member will teach listed here?)</t>
  </si>
  <si>
    <t>Attach any additional information necessary to support comments and recommendation.</t>
  </si>
  <si>
    <r>
      <t xml:space="preserve">APS - Department Scorecard tab, Courses section, Class Size - </t>
    </r>
    <r>
      <rPr>
        <b/>
        <u val="single"/>
        <sz val="9"/>
        <color theme="8"/>
        <rFont val="Verdana"/>
        <family val="2"/>
        <scheme val="minor"/>
      </rPr>
      <t>Median Section Class Size</t>
    </r>
  </si>
  <si>
    <r>
      <t xml:space="preserve">APS - Department Scorecard tab, Courses section, Seat Utilization - </t>
    </r>
    <r>
      <rPr>
        <b/>
        <u val="single"/>
        <sz val="9"/>
        <color theme="8"/>
        <rFont val="Verdana"/>
        <family val="2"/>
        <scheme val="minor"/>
      </rPr>
      <t>Median Section Fill Rate</t>
    </r>
  </si>
  <si>
    <r>
      <t xml:space="preserve">APS - Department Scorecard tab, Courses section, Seat Utilization - </t>
    </r>
    <r>
      <rPr>
        <b/>
        <u val="single"/>
        <sz val="9"/>
        <color theme="8"/>
        <rFont val="Verdana"/>
        <family val="2"/>
        <scheme val="minor"/>
      </rPr>
      <t># of Collapsible Sections</t>
    </r>
  </si>
  <si>
    <r>
      <t xml:space="preserve">APS - Department Scorecard tab, Courses section, Class Size - </t>
    </r>
    <r>
      <rPr>
        <b/>
        <u val="single"/>
        <sz val="9"/>
        <color theme="8"/>
        <rFont val="Verdana"/>
        <family val="2"/>
        <scheme val="minor"/>
      </rPr>
      <t># of Classes with Size &lt; 10</t>
    </r>
  </si>
  <si>
    <r>
      <t xml:space="preserve">APS - Department Scorecard tab, Courses section, Distinct Course Offerings - </t>
    </r>
    <r>
      <rPr>
        <b/>
        <u val="single"/>
        <sz val="9"/>
        <color theme="8"/>
        <rFont val="Verdana"/>
        <family val="2"/>
        <scheme val="minor"/>
      </rPr>
      <t>3 yr CAGR (Distinct Course Offerings)</t>
    </r>
  </si>
  <si>
    <t>Please identify any known future changes to the department: retirement, return to faculty, etc.</t>
  </si>
  <si>
    <r>
      <t xml:space="preserve">APS Benchmarks - Course Planning Tab - Median Class Size - </t>
    </r>
    <r>
      <rPr>
        <b/>
        <u val="single"/>
        <sz val="9"/>
        <color theme="8"/>
        <rFont val="Verdana"/>
        <family val="2"/>
        <scheme val="minor"/>
      </rPr>
      <t>Cohort Weighted Average</t>
    </r>
    <r>
      <rPr>
        <sz val="9"/>
        <color theme="1"/>
        <rFont val="Verdana"/>
        <family val="2"/>
        <scheme val="minor"/>
      </rPr>
      <t xml:space="preserve"> </t>
    </r>
  </si>
  <si>
    <t>FTE of Tenure/TT Faculty</t>
  </si>
  <si>
    <t>FTE of Distinct Lecturers</t>
  </si>
  <si>
    <t>FTE of Quarterly Faculty</t>
  </si>
  <si>
    <t>FTE of GSAs</t>
  </si>
  <si>
    <t>APS - Instructional Staff tab, IFTE Staff: Tenured &amp; Probationary</t>
  </si>
  <si>
    <t>APS - Instructional Staff tab, IFTE Staff: Special</t>
  </si>
  <si>
    <t>APS - Instructional Staff tab, IFTE Staff: Graduate Assistants</t>
  </si>
  <si>
    <t>APS - Instructional Staff tab, IFTE Staff: Adjuncts &amp; Other Instructional Staff</t>
  </si>
  <si>
    <t>FTE Quarterly Faculty</t>
  </si>
  <si>
    <t>FTE GSAs</t>
  </si>
  <si>
    <t>Majors Offered</t>
  </si>
  <si>
    <t>Declared Majors</t>
  </si>
  <si>
    <t>Undeclared w/ Interest</t>
  </si>
  <si>
    <t>Undergraduate Programming</t>
  </si>
  <si>
    <t>Graduate Programming</t>
  </si>
  <si>
    <t>Programs Offered</t>
  </si>
  <si>
    <t>Enrolled Students</t>
  </si>
  <si>
    <t>Program Cost</t>
  </si>
  <si>
    <t>Instructional</t>
  </si>
  <si>
    <t>Administrative/Support</t>
  </si>
  <si>
    <t>Benefits</t>
  </si>
  <si>
    <t>Cost per SCH</t>
  </si>
  <si>
    <t>SCH Taught by Special Faculty</t>
  </si>
  <si>
    <t>SCH Taught by Tenure/TT Faculty</t>
  </si>
  <si>
    <t>SCH Taught by Quarterly Faculty</t>
  </si>
  <si>
    <t>SCH Taught by GSAs</t>
  </si>
  <si>
    <t>APS - Programs tab, Trends in student enrollment by program - Degree Name = Not Declared</t>
  </si>
  <si>
    <t>APS - Programs tab, Trends in student enrollment by program - Degree Name = BA (example)</t>
  </si>
  <si>
    <t>APS - Programs tab, Trends in student enrollment by program - Number of Different Degrees</t>
  </si>
  <si>
    <t>APS - Instructional Staff tab, Distribution of SCH Taught: Tenured &amp; Probationary</t>
  </si>
  <si>
    <t>APS - Instructional Staff tab, Distribution of SCH Taught: Special Faculty</t>
  </si>
  <si>
    <t>APS - Instructional Staff tab, Distribution of SCH Taught: Graduate Assistants</t>
  </si>
  <si>
    <t>APS - Instructional Staff tab, Distribution of SCH Taught: Adjuncts &amp; Other Instructional Staff</t>
  </si>
  <si>
    <t>DFW Rates</t>
  </si>
  <si>
    <t>Percentage of Students Earning Credit</t>
  </si>
  <si>
    <t>Degrees Awarded</t>
  </si>
  <si>
    <t>APS - Students tab, Final Grades and Course Completion</t>
  </si>
  <si>
    <t>18-19</t>
  </si>
  <si>
    <t>17-18</t>
  </si>
  <si>
    <t>16-17</t>
  </si>
  <si>
    <t>APS - Programs tab, Trends in student enrollment by program - Degree Name = MFA (example) Use Fall Qtr/Sem</t>
  </si>
  <si>
    <t>College documentation, supported by AY Chair Stipend</t>
  </si>
  <si>
    <t>College documentation, supported by AY Chair Stipend (load of 45 credits = 1 FTE)</t>
  </si>
  <si>
    <t>IR - Degrees Awarded Report</t>
  </si>
  <si>
    <t>APS - Students tab, Courses with Highest Unearned Credits</t>
  </si>
  <si>
    <t>EAB - APS - Program Health Checks</t>
  </si>
  <si>
    <t>Created by AA SBO 3.30.20</t>
  </si>
  <si>
    <t>Supported by Tableau Payroll Benefit Detail</t>
  </si>
  <si>
    <t>Supported by Tableau Payroll Wage Detail</t>
  </si>
  <si>
    <t>COB</t>
  </si>
  <si>
    <t>Accounting</t>
  </si>
  <si>
    <t>M.Boston</t>
  </si>
  <si>
    <t>CSS</t>
  </si>
  <si>
    <t>American Indian Studies</t>
  </si>
  <si>
    <t>Bill Shaw</t>
  </si>
  <si>
    <t>Program has no Major, contributed to RCST major, which was banked at the end of AY18-19</t>
  </si>
  <si>
    <t>CALE</t>
  </si>
  <si>
    <t>ART</t>
  </si>
  <si>
    <t>B. Shaw</t>
  </si>
  <si>
    <t>CSTEM</t>
  </si>
  <si>
    <t>Biology</t>
  </si>
  <si>
    <t>Does not include the animal colony</t>
  </si>
  <si>
    <t>CHEM</t>
  </si>
  <si>
    <t>Chicanx Studies</t>
  </si>
  <si>
    <t>Costs exclude CAMP Grant Program</t>
  </si>
  <si>
    <t>Children's Studies</t>
  </si>
  <si>
    <t>Program has financially successful online major (self-support) that duplicates the face-to-face offering</t>
  </si>
  <si>
    <t>Self-support program costs are not included</t>
  </si>
  <si>
    <t>CMST</t>
  </si>
  <si>
    <t>Computer Science</t>
  </si>
  <si>
    <t>CPLA removal impacts service vs. own major percentage change</t>
  </si>
  <si>
    <t>Creative Writing</t>
  </si>
  <si>
    <t xml:space="preserve">Costs share the same org as writers center.  </t>
  </si>
  <si>
    <t>ECON</t>
  </si>
  <si>
    <t>APS - Programs tab, Trends in student enrollment by program - Degree Name = BA (example) Using Fall Qtr/Sem</t>
  </si>
  <si>
    <t>Education</t>
  </si>
  <si>
    <t>VCD</t>
  </si>
  <si>
    <t>Used Visual Arts</t>
  </si>
  <si>
    <t>Electrical Engineering</t>
  </si>
  <si>
    <t>Mech, Tech, App. Tech</t>
  </si>
  <si>
    <t>(FILM) Theatre and Film</t>
  </si>
  <si>
    <t>Geog, Anth, Plan</t>
  </si>
  <si>
    <t>Reorganization of colleges will see these programs spli; needs assessment of continuing 2 graduate and 3 undergraduate programs</t>
  </si>
  <si>
    <t>FY20 saw reduction of one TT line in Planning</t>
  </si>
  <si>
    <t>Costs do not inlcude grants for these units</t>
  </si>
  <si>
    <t>Anthropology</t>
  </si>
  <si>
    <t>Department Secretary and all GSAs are paid by Geogrpahy but serve both Geography and Anthropology</t>
  </si>
  <si>
    <t>Geography</t>
  </si>
  <si>
    <t>GIPA</t>
  </si>
  <si>
    <t>N/A</t>
  </si>
  <si>
    <t>Planning</t>
  </si>
  <si>
    <t>Costs do not include any grant activity</t>
  </si>
  <si>
    <t>Geology</t>
  </si>
  <si>
    <t>Both a BA and BS in Geology Available, BA has less than 5 declared majors for many years</t>
  </si>
  <si>
    <t>Environmental Science is the only program with both large declared majors and large undeclared with interest</t>
  </si>
  <si>
    <t>Portion of faculty member has been bought out for FYE Director and another for teaching in Geography during time reviewed</t>
  </si>
  <si>
    <t>Health Services Admin</t>
  </si>
  <si>
    <t>History</t>
  </si>
  <si>
    <t>One Lecturer removed after FY19</t>
  </si>
  <si>
    <t>GSAs assist with grading and research, but do not teach</t>
  </si>
  <si>
    <t>One TT removed after FY20 as part of tenure relinquishment</t>
  </si>
  <si>
    <t>Two faculty are 1/2 time in department with the other half dedicated to Chicanx Studies and State Archives respectively, FTE calculations</t>
  </si>
  <si>
    <t>account for this</t>
  </si>
  <si>
    <t>Faculty time bought out for GE Fac. Fellow and UFE duties</t>
  </si>
  <si>
    <t xml:space="preserve">COB </t>
  </si>
  <si>
    <t>Information Systems</t>
  </si>
  <si>
    <t>M. Boston</t>
  </si>
  <si>
    <t>Journalism</t>
  </si>
  <si>
    <t xml:space="preserve">One TT Faculty not replaced beginning FY21 due to tenure relinquishment offer </t>
  </si>
  <si>
    <t>Math</t>
  </si>
  <si>
    <t>Courses  like Math 104 award no credit, negatively impacting the "Percentage of Students Earning Credit" number but not "DFW Rate"</t>
  </si>
  <si>
    <t>Instruction Costs include Math Lab positions, administrative are operations manager and secretary positions</t>
  </si>
  <si>
    <t xml:space="preserve">Management </t>
  </si>
  <si>
    <t>Finance and Marketing removed from program evaluation</t>
  </si>
  <si>
    <t>Faculty counts do not include ELI faculty</t>
  </si>
  <si>
    <t>One TT line was reduced to Lecturer beginning FY21</t>
  </si>
  <si>
    <t>Modern Lang.</t>
  </si>
  <si>
    <t>PHIL received a new state funded lecturer line for FY20 forward</t>
  </si>
  <si>
    <t>Philosophy</t>
  </si>
  <si>
    <t>Music</t>
  </si>
  <si>
    <t>Music's class seciton size is small due to how they compensate and combine courses, but this report stays with the standard of only removing</t>
  </si>
  <si>
    <t>independent studies and internship type courses when looking at section fill rates. Based on pure SCH to Faculty there appears to be room</t>
  </si>
  <si>
    <t>for improvement regarding scheduling and subsequently a review of true faculty need.</t>
  </si>
  <si>
    <t>Instruction costs include the classified technician position</t>
  </si>
  <si>
    <t>Review includes costs and faculy for Marching Band as well</t>
  </si>
  <si>
    <t>Physics</t>
  </si>
  <si>
    <t>Pol Sci, Intl Affairs, Pub Ad</t>
  </si>
  <si>
    <t>PSYC</t>
  </si>
  <si>
    <t xml:space="preserve">Sociology </t>
  </si>
  <si>
    <t>Does not include Criminal Justice and assumes all faculty paid by Sociology are teaching only Sociology</t>
  </si>
  <si>
    <t>1 tenured faculty had 50% administrative release during this time</t>
  </si>
  <si>
    <t>Tech. Comm</t>
  </si>
  <si>
    <r>
      <rPr>
        <b/>
        <u val="single"/>
        <sz val="9"/>
        <rFont val="Verdana"/>
        <family val="2"/>
        <scheme val="minor"/>
      </rPr>
      <t>Theatre</t>
    </r>
    <r>
      <rPr>
        <sz val="9"/>
        <rFont val="Verdana"/>
        <family val="2"/>
        <scheme val="minor"/>
      </rPr>
      <t xml:space="preserve"> and Film </t>
    </r>
  </si>
  <si>
    <t>Health Sciences</t>
  </si>
  <si>
    <t>WAMS</t>
  </si>
  <si>
    <t>Orange section counts used FY20 budget</t>
  </si>
  <si>
    <t>B. Shaw to review the major count.  Seems like a lot of names that are similar and therefore less majors than the actual count</t>
  </si>
  <si>
    <t xml:space="preserve">Program didn't show up on APS so had to filter by major </t>
  </si>
  <si>
    <t>Women's &amp; Gender Studies</t>
  </si>
  <si>
    <t>Bottleneck</t>
  </si>
  <si>
    <t xml:space="preserve">Benchmark </t>
  </si>
  <si>
    <t>Collapsible Sect.</t>
  </si>
  <si>
    <t>Enrollment</t>
  </si>
  <si>
    <t>% less than 10</t>
  </si>
  <si>
    <t>Art</t>
  </si>
  <si>
    <t xml:space="preserve">Biology </t>
  </si>
  <si>
    <t>Chemistry</t>
  </si>
  <si>
    <t>Chicanx</t>
  </si>
  <si>
    <t>CDST</t>
  </si>
  <si>
    <t xml:space="preserve">CMST </t>
  </si>
  <si>
    <t>Economics</t>
  </si>
  <si>
    <t>Electical Eng.</t>
  </si>
  <si>
    <t>Mechanical Eng. &amp; Tech</t>
  </si>
  <si>
    <t>Film</t>
  </si>
  <si>
    <t>GEAN</t>
  </si>
  <si>
    <t>ANTR</t>
  </si>
  <si>
    <t>GEOG</t>
  </si>
  <si>
    <t>GIPA (Graduate)</t>
  </si>
  <si>
    <t>PLAN</t>
  </si>
  <si>
    <t>GEOL</t>
  </si>
  <si>
    <t>HIST</t>
  </si>
  <si>
    <t xml:space="preserve">Journalism </t>
  </si>
  <si>
    <t>Management</t>
  </si>
  <si>
    <t xml:space="preserve">MLL </t>
  </si>
  <si>
    <t>MLL Only</t>
  </si>
  <si>
    <t>PHIL</t>
  </si>
  <si>
    <t>POLI, IA, PADM</t>
  </si>
  <si>
    <t>TCOM</t>
  </si>
  <si>
    <t>WMST</t>
  </si>
  <si>
    <t>FY19</t>
  </si>
  <si>
    <t>FY18</t>
  </si>
  <si>
    <t>FY17</t>
  </si>
  <si>
    <t>Current SCH per Faculty (FTE)</t>
  </si>
  <si>
    <t>Current SCH per (FTE)</t>
  </si>
  <si>
    <t>Tenure/TT Percentage of SCH</t>
  </si>
  <si>
    <t>Lecturer Percentage of SCH</t>
  </si>
  <si>
    <t>Quarterly Faculty Percentage of SCH</t>
  </si>
  <si>
    <t>GSA Percentage of SCH</t>
  </si>
  <si>
    <t>SCH Percent Change from Previous Year</t>
  </si>
  <si>
    <t>Enrollment vs. Benchmark</t>
  </si>
  <si>
    <t>Declared Student Comparison Fall 19 vs. Fall 16</t>
  </si>
  <si>
    <t>Degrees Granted</t>
  </si>
  <si>
    <t>Undergraduate Programs</t>
  </si>
  <si>
    <t>Graduate Programs</t>
  </si>
  <si>
    <t>All Programs</t>
  </si>
  <si>
    <t>F19 vs. F16 Gain (Loss)</t>
  </si>
  <si>
    <t>4 Year Fall Avg</t>
  </si>
  <si>
    <t>SCH by Dept.</t>
  </si>
  <si>
    <t>Discipline</t>
  </si>
  <si>
    <t>16/17 - 18/19</t>
  </si>
  <si>
    <t>16/17 - 18/19**</t>
  </si>
  <si>
    <t>Professional Accounting</t>
  </si>
  <si>
    <t>Intercollegiate Col of Nursing</t>
  </si>
  <si>
    <t>Nursing</t>
  </si>
  <si>
    <t>Accounting Total</t>
  </si>
  <si>
    <t>Humanities Total</t>
  </si>
  <si>
    <t>Art History</t>
  </si>
  <si>
    <t>Interdisciplinary Studies</t>
  </si>
  <si>
    <t>Experiential Learning</t>
  </si>
  <si>
    <t>Addiction Studies Total</t>
  </si>
  <si>
    <t>Integrative Studies Total</t>
  </si>
  <si>
    <t>Instructional Media &amp; Tech Total</t>
  </si>
  <si>
    <t>Studio Art</t>
  </si>
  <si>
    <t>Interdisciplinary Liberal Arts</t>
  </si>
  <si>
    <t>Comm. Sciences &amp; Disorders</t>
  </si>
  <si>
    <t>Comm Sciences &amp; Disorders</t>
  </si>
  <si>
    <t>Anthropology Total</t>
  </si>
  <si>
    <t>Interdisciplinary Studies Total</t>
  </si>
  <si>
    <t>Adult Education Total</t>
  </si>
  <si>
    <t>Visual Arts Education</t>
  </si>
  <si>
    <t>Communication Studies</t>
  </si>
  <si>
    <t>Communications</t>
  </si>
  <si>
    <t>Chemistry/Biochem &amp; Physics</t>
  </si>
  <si>
    <t>Applied Developmental Psych Total</t>
  </si>
  <si>
    <t>International Affairs Total</t>
  </si>
  <si>
    <t>Applied Psychology Total</t>
  </si>
  <si>
    <t>Entrepreneurship</t>
  </si>
  <si>
    <t>Applied Technology Total</t>
  </si>
  <si>
    <t>International Business Total</t>
  </si>
  <si>
    <t>Athletic Training Total</t>
  </si>
  <si>
    <t>Biology Education</t>
  </si>
  <si>
    <t>Human Resource Management</t>
  </si>
  <si>
    <t>Dental Hygiene</t>
  </si>
  <si>
    <t>Art History Total</t>
  </si>
  <si>
    <t>Jazz Performance Total</t>
  </si>
  <si>
    <t>Biology Total</t>
  </si>
  <si>
    <t>Environmental Science</t>
  </si>
  <si>
    <t>International Business</t>
  </si>
  <si>
    <t>Curriculum and Instruction</t>
  </si>
  <si>
    <t>Journalism Total</t>
  </si>
  <si>
    <t>Cert Teaching with Technology Total</t>
  </si>
  <si>
    <t>Natural Science Education</t>
  </si>
  <si>
    <t>BAB w/ undecided major Total</t>
  </si>
  <si>
    <t>Literacy, Reading &amp; Writing Total</t>
  </si>
  <si>
    <t>Comm Sciences &amp; Disorders Total</t>
  </si>
  <si>
    <t>Chemistry/Biochem Education</t>
  </si>
  <si>
    <t>Operations/Supply Chain Mgmt</t>
  </si>
  <si>
    <t>English</t>
  </si>
  <si>
    <t>Biology Education Total</t>
  </si>
  <si>
    <t>Management Information Systems Total</t>
  </si>
  <si>
    <t>Communication Studies Total</t>
  </si>
  <si>
    <t>Chemistry/Biochemistry</t>
  </si>
  <si>
    <t>Mathematics</t>
  </si>
  <si>
    <t>Mathemathics/Middle Level</t>
  </si>
  <si>
    <t>Rhetoric &amp; Technical Comm</t>
  </si>
  <si>
    <t>Management Total</t>
  </si>
  <si>
    <t>Computer Science Total</t>
  </si>
  <si>
    <t>Teach English as a Second Lang</t>
  </si>
  <si>
    <t>Business &amp; Marketing Education Total</t>
  </si>
  <si>
    <t>Manufacturing Technology Total</t>
  </si>
  <si>
    <t>Counseling Total</t>
  </si>
  <si>
    <t>Mathematics Education</t>
  </si>
  <si>
    <t>Geog, Anthro &amp; Planning</t>
  </si>
  <si>
    <t>Critical GIS and Public Anthro</t>
  </si>
  <si>
    <t>Engineering and Design</t>
  </si>
  <si>
    <t>Business Analytics Total</t>
  </si>
  <si>
    <t>Marketing Total</t>
  </si>
  <si>
    <t>Counselor Education Total</t>
  </si>
  <si>
    <t>Physics Education</t>
  </si>
  <si>
    <t>Mod. Languages, Lit. &amp; Phil.</t>
  </si>
  <si>
    <t>English as a Second Language</t>
  </si>
  <si>
    <t>Urban and Regional Planning</t>
  </si>
  <si>
    <t>Chall Crs Mgmt &amp; Leadership Total</t>
  </si>
  <si>
    <t>Mathematics Total</t>
  </si>
  <si>
    <t>Creative Writing Total</t>
  </si>
  <si>
    <t>French</t>
  </si>
  <si>
    <t>Finance &amp; Marketing</t>
  </si>
  <si>
    <t>Chemistry Education Total</t>
  </si>
  <si>
    <t>Mechanical Engineering Tech Total</t>
  </si>
  <si>
    <t>Curriculum and Instruction Total</t>
  </si>
  <si>
    <t>French Education</t>
  </si>
  <si>
    <t>MBA</t>
  </si>
  <si>
    <t>Business Administration</t>
  </si>
  <si>
    <t>Geography and Anthropology</t>
  </si>
  <si>
    <t>Chemistry Total</t>
  </si>
  <si>
    <t>Mechanical Engineering Total</t>
  </si>
  <si>
    <t>Dental Hygiene Total</t>
  </si>
  <si>
    <t>MBA Total</t>
  </si>
  <si>
    <t>French with minor</t>
  </si>
  <si>
    <t>Children's Studies Total</t>
  </si>
  <si>
    <t>Music Total</t>
  </si>
  <si>
    <t>Disability Studies Total</t>
  </si>
  <si>
    <t>College of Social Sciences Total</t>
  </si>
  <si>
    <t>Music: Instrument, Choral, Gen Total</t>
  </si>
  <si>
    <t>Economics Total</t>
  </si>
  <si>
    <t>Philosophy with minor</t>
  </si>
  <si>
    <t>Occupational Therapy</t>
  </si>
  <si>
    <t>Inform Systems &amp; Bus Analytics</t>
  </si>
  <si>
    <t>Musical Theatre Total</t>
  </si>
  <si>
    <t>Education Total</t>
  </si>
  <si>
    <t>Business &amp; Marketing Education</t>
  </si>
  <si>
    <t>Spanish</t>
  </si>
  <si>
    <t>Physical Therapy</t>
  </si>
  <si>
    <t>Natural Science Education Total</t>
  </si>
  <si>
    <t>English Total</t>
  </si>
  <si>
    <t>Early Childhood &amp; Special Edu</t>
  </si>
  <si>
    <t>Spanish Education</t>
  </si>
  <si>
    <t>Pol Sci, Intl Affairs &amp; Pub Ad</t>
  </si>
  <si>
    <t>Public Administration</t>
  </si>
  <si>
    <t>Community Engagement Total</t>
  </si>
  <si>
    <t>Nursing Total</t>
  </si>
  <si>
    <t>French Total</t>
  </si>
  <si>
    <t>Early Childhood Education</t>
  </si>
  <si>
    <t>Spanish with minor</t>
  </si>
  <si>
    <t>Psychology</t>
  </si>
  <si>
    <t>Counselor Education</t>
  </si>
  <si>
    <t>Community Health Total</t>
  </si>
  <si>
    <t>Outdoor Recreation Leadership Total</t>
  </si>
  <si>
    <t>Geography Total</t>
  </si>
  <si>
    <t>Educational Studies</t>
  </si>
  <si>
    <t>Military Science</t>
  </si>
  <si>
    <t>Philosophy Total</t>
  </si>
  <si>
    <t>Geogrpahy &amp; Anthropology Total</t>
  </si>
  <si>
    <t>Elementary Education</t>
  </si>
  <si>
    <t>Music: Instrument, Choral, Gen</t>
  </si>
  <si>
    <t>Public Health &amp; Health Admin</t>
  </si>
  <si>
    <t>Public Health</t>
  </si>
  <si>
    <t>Construction Mgmt Tech Total</t>
  </si>
  <si>
    <t>Physics Education Total</t>
  </si>
  <si>
    <t>Health Services Administration Total</t>
  </si>
  <si>
    <t>Occupational Therapy Total</t>
  </si>
  <si>
    <t>Literacy, Reading &amp; Writing</t>
  </si>
  <si>
    <t>International Affairs</t>
  </si>
  <si>
    <t>School of Social Work</t>
  </si>
  <si>
    <t>Social Work</t>
  </si>
  <si>
    <t>Criminal Justice Total</t>
  </si>
  <si>
    <t>Physics Total</t>
  </si>
  <si>
    <t>History Total</t>
  </si>
  <si>
    <t>Reading Education</t>
  </si>
  <si>
    <t>Political Science</t>
  </si>
  <si>
    <t>Behavioral Health</t>
  </si>
  <si>
    <t>Data Analytics Total</t>
  </si>
  <si>
    <t>Political Science Total</t>
  </si>
  <si>
    <t>Human Anatomy &amp; Physiology Total</t>
  </si>
  <si>
    <t>Special Ed &amp; Elem Endorsement</t>
  </si>
  <si>
    <t>Political Science with minor</t>
  </si>
  <si>
    <t>Pre-Education Total</t>
  </si>
  <si>
    <t>Physical Education Total</t>
  </si>
  <si>
    <t>Program/RCST</t>
  </si>
  <si>
    <t>Race and Culture Studies</t>
  </si>
  <si>
    <t>Wellness and Movement Sciences</t>
  </si>
  <si>
    <t>Physical Education</t>
  </si>
  <si>
    <t>Planning &amp; Public Admin</t>
  </si>
  <si>
    <t>Design Total</t>
  </si>
  <si>
    <t>Pre-Nursing Total</t>
  </si>
  <si>
    <t>Physical Therapy Total</t>
  </si>
  <si>
    <t>Applied Technology</t>
  </si>
  <si>
    <t>Program/WMST</t>
  </si>
  <si>
    <t>Women's and Gender Studies</t>
  </si>
  <si>
    <t>Political Sci &amp; Intl Affairs</t>
  </si>
  <si>
    <t>Principal Certification Total</t>
  </si>
  <si>
    <t>Construction Mgmt Tech</t>
  </si>
  <si>
    <t>Applied Developmental Psych</t>
  </si>
  <si>
    <t>Program/Addiction Studies</t>
  </si>
  <si>
    <t>Early Childhood &amp; Special Edu Total</t>
  </si>
  <si>
    <t>Psychology Total</t>
  </si>
  <si>
    <t>Design</t>
  </si>
  <si>
    <t>Program/Africana Education</t>
  </si>
  <si>
    <t>Early Childhood Education Total</t>
  </si>
  <si>
    <t>Public Health (WAMS-Undergrad) Total</t>
  </si>
  <si>
    <t>Health Informatics Tech &amp; Mgmt</t>
  </si>
  <si>
    <t>Program/Aging Studies</t>
  </si>
  <si>
    <t>Earth &amp; Space Science Secondar Total</t>
  </si>
  <si>
    <t>Race and Culture Studies Total</t>
  </si>
  <si>
    <t>Manufacturing Technology</t>
  </si>
  <si>
    <t>Program/Amer Indian Studies</t>
  </si>
  <si>
    <t>Economics (Business) Total</t>
  </si>
  <si>
    <t>Reading Education Total</t>
  </si>
  <si>
    <t>Mechanical Engineering</t>
  </si>
  <si>
    <t>Health Services Administration</t>
  </si>
  <si>
    <t>Program/Chicano Education</t>
  </si>
  <si>
    <t>Recreation &amp; Tourism Mgmt Total</t>
  </si>
  <si>
    <t>Principal Certificate Total</t>
  </si>
  <si>
    <t>Mechanical Engineering Tech</t>
  </si>
  <si>
    <t>Program/Children's Studies</t>
  </si>
  <si>
    <t>Educational Studies Total</t>
  </si>
  <si>
    <t>Social Studies Education Total</t>
  </si>
  <si>
    <t>Addiction Studies</t>
  </si>
  <si>
    <t>Program/CSBSSW Core</t>
  </si>
  <si>
    <t>Electrical Engineering Total</t>
  </si>
  <si>
    <t>Social Work Total</t>
  </si>
  <si>
    <t>Professional Certificate Total</t>
  </si>
  <si>
    <t>English Education</t>
  </si>
  <si>
    <t>Program/Health Serv Admin</t>
  </si>
  <si>
    <t>Elementary Education Total</t>
  </si>
  <si>
    <t>Sociology Total</t>
  </si>
  <si>
    <t>Humanities</t>
  </si>
  <si>
    <t>Criminal Justice</t>
  </si>
  <si>
    <t>Program/Public Health</t>
  </si>
  <si>
    <t>Spanish Total</t>
  </si>
  <si>
    <t>Public Administration Total</t>
  </si>
  <si>
    <t>Sociology</t>
  </si>
  <si>
    <t>Program/Race &amp; Culture Studies</t>
  </si>
  <si>
    <t>Entrepreneurship Total</t>
  </si>
  <si>
    <t>Special Ed &amp; Elem Endorsement Total</t>
  </si>
  <si>
    <t>Public Health (HSPH - Grad) Total</t>
  </si>
  <si>
    <t>Technical Communication</t>
  </si>
  <si>
    <t>Theatre &amp; Film</t>
  </si>
  <si>
    <t>Program/Undergraduate Studies</t>
  </si>
  <si>
    <t>Environmental Science Total</t>
  </si>
  <si>
    <t>Special Education Total</t>
  </si>
  <si>
    <t>School Psychology Total</t>
  </si>
  <si>
    <t>Finance</t>
  </si>
  <si>
    <t>Theatre</t>
  </si>
  <si>
    <t>Program/Women's &amp; Gndr Studies</t>
  </si>
  <si>
    <t>Exercise Science Total</t>
  </si>
  <si>
    <t>Studio Art Total</t>
  </si>
  <si>
    <t>Marketing</t>
  </si>
  <si>
    <t>Athletic Training</t>
  </si>
  <si>
    <t>Film Total</t>
  </si>
  <si>
    <t>TCOM Total</t>
  </si>
  <si>
    <t>TESL Total</t>
  </si>
  <si>
    <t>Community Health</t>
  </si>
  <si>
    <t>Finance Total</t>
  </si>
  <si>
    <t>Urban and Regional Planning Total</t>
  </si>
  <si>
    <t>Exercise Science</t>
  </si>
  <si>
    <t>Sociology &amp; Criminal Justice</t>
  </si>
  <si>
    <t>Theatre Total</t>
  </si>
  <si>
    <t>Women's &amp; Gender Studies Total</t>
  </si>
  <si>
    <t>Health and Fitness</t>
  </si>
  <si>
    <t>Therapeutic Recreation Total</t>
  </si>
  <si>
    <t>Earth &amp; Space Science Secondar</t>
  </si>
  <si>
    <t>Outdoor Recreation</t>
  </si>
  <si>
    <t>Geology Total</t>
  </si>
  <si>
    <t>Undeclared/Unknown Total</t>
  </si>
  <si>
    <t>Health and Fitness Total</t>
  </si>
  <si>
    <t>Recreation &amp; Tourism Mgmt</t>
  </si>
  <si>
    <t>Cost per SCH @120% median = $160</t>
  </si>
  <si>
    <t>Health and Physical Education Total</t>
  </si>
  <si>
    <t>Visual Arts Education Total</t>
  </si>
  <si>
    <t>Therapeutic Recreation</t>
  </si>
  <si>
    <t>Health Informatics Tech &amp; Mgmt Total</t>
  </si>
  <si>
    <t>History with minor</t>
  </si>
  <si>
    <t>Social Studies Education</t>
  </si>
  <si>
    <t>Business Analytics</t>
  </si>
  <si>
    <t>Human Resource Management Total</t>
  </si>
  <si>
    <t>Data Analytics</t>
  </si>
  <si>
    <t>Management Information Systems</t>
  </si>
  <si>
    <t>TESL</t>
  </si>
  <si>
    <t>AACT</t>
  </si>
  <si>
    <t>ADST</t>
  </si>
  <si>
    <t>METC</t>
  </si>
  <si>
    <t>MGMT</t>
  </si>
  <si>
    <t>BIOL</t>
  </si>
  <si>
    <t>EDUC</t>
  </si>
  <si>
    <t>ISBA</t>
  </si>
  <si>
    <t>CSBS</t>
  </si>
  <si>
    <t>COMD</t>
  </si>
  <si>
    <t>UC</t>
  </si>
  <si>
    <t>CSCD</t>
  </si>
  <si>
    <t>CRIM</t>
  </si>
  <si>
    <t>DNHY</t>
  </si>
  <si>
    <t>SOWK</t>
  </si>
  <si>
    <t>EENG</t>
  </si>
  <si>
    <t>ENGL</t>
  </si>
  <si>
    <t>FILM</t>
  </si>
  <si>
    <t>FNMK</t>
  </si>
  <si>
    <t>MLL</t>
  </si>
  <si>
    <t>HSAD</t>
  </si>
  <si>
    <t>IDST</t>
  </si>
  <si>
    <t>POLI</t>
  </si>
  <si>
    <t>MUSC</t>
  </si>
  <si>
    <t>MATH</t>
  </si>
  <si>
    <t>NURS</t>
  </si>
  <si>
    <t>PHYS</t>
  </si>
  <si>
    <t>SOCI</t>
  </si>
  <si>
    <t>RCST</t>
  </si>
  <si>
    <t>THTR</t>
  </si>
  <si>
    <t>UNDC</t>
  </si>
  <si>
    <t>ACCT</t>
  </si>
  <si>
    <t>CRWR</t>
  </si>
  <si>
    <t>OCTH</t>
  </si>
  <si>
    <t>PHTH</t>
  </si>
  <si>
    <t>MPH</t>
  </si>
  <si>
    <t xml:space="preserve">ART </t>
  </si>
  <si>
    <t>Comm. Studies</t>
  </si>
  <si>
    <t>Additction Studies</t>
  </si>
  <si>
    <t>Sociology &amp; Justice Studies</t>
  </si>
  <si>
    <t>Programs Not Examined</t>
  </si>
  <si>
    <t>Reason</t>
  </si>
  <si>
    <t>Degrees issued by EWU, but instruction takes place outside of EWU</t>
  </si>
  <si>
    <t>Communicaiton Science and Disorders</t>
  </si>
  <si>
    <t>Shared program with WSU makes costing and full instructional information difficult and steady cohort enrollments</t>
  </si>
  <si>
    <t>Dental Hygeine</t>
  </si>
  <si>
    <t>Student demand far greater than students admitted, APS high level view does not set off alerts</t>
  </si>
  <si>
    <t>Cohort graduate program, operating at capacity with demand many times greater than students admitted, APS high level view does not set off alerts</t>
  </si>
  <si>
    <t>All faculty costs paid by US Army and many students are on significant scholarships, APS shows growth over last few years</t>
  </si>
  <si>
    <t>New degrees with large growth, APS shows no signs of alert</t>
  </si>
  <si>
    <t>Africana Studies</t>
  </si>
  <si>
    <t>APS shows a program operating at or above capacity, SCH production equal to departments 3 times their size</t>
  </si>
  <si>
    <t>Major and program banked at end of AY18-19</t>
  </si>
  <si>
    <t>CSBSSW Core</t>
  </si>
  <si>
    <t>Program moving to self-support only beginning July 1, 2020</t>
  </si>
  <si>
    <t>Core courses specific to CSS programs with no permanent faculty, staffed by faculty in CSS departments</t>
  </si>
  <si>
    <t>Undergraduate Studies</t>
  </si>
  <si>
    <t>Programs like FYE and Community Engagement have no permanent faculty and use faculty from other units on campus</t>
  </si>
  <si>
    <t>APS shows no signs of alert</t>
  </si>
  <si>
    <t>No permanent faculty cost, functions as degree completion and option for department to run pilot majors through to assess interest</t>
  </si>
  <si>
    <t>No APS signs of alert, uses faculty from COB programs</t>
  </si>
  <si>
    <t>Strong student demand at undergraduate and graduate level, no APS alerts</t>
  </si>
  <si>
    <t>Decline &gt; -5%</t>
  </si>
  <si>
    <t>Change &lt; 0</t>
  </si>
  <si>
    <t>Tripwires Hit</t>
  </si>
  <si>
    <t>Tripwires Applicable</t>
  </si>
  <si>
    <t>10 maximun</t>
  </si>
  <si>
    <t>All programs not counted in tripwire</t>
  </si>
  <si>
    <t>Tripwire %</t>
  </si>
  <si>
    <t>Cost Per SCH One Sheet</t>
  </si>
  <si>
    <t>Cost Per SCH APS</t>
  </si>
  <si>
    <t>Attempted SCH % Change APS</t>
  </si>
  <si>
    <t>Attempted SCH % Change One Sheet</t>
  </si>
  <si>
    <t>Attempted SCH One Sheet</t>
  </si>
  <si>
    <t>Attempted SCH APS</t>
  </si>
  <si>
    <t>Chemistry/Biochem</t>
  </si>
  <si>
    <t>Mechanical Engineering &amp; Tech</t>
  </si>
  <si>
    <t>Technical Comm.</t>
  </si>
  <si>
    <t>Urban &amp; Regional Planning</t>
  </si>
  <si>
    <t>Modern Languagues</t>
  </si>
  <si>
    <t>Political Science &amp; International Affairs</t>
  </si>
  <si>
    <t>PB: Bill Shaw</t>
  </si>
  <si>
    <t>1. Hitting a tripwire, means something in that unit hit the tripwire. If anything hit the tripwire the unit was marked as such</t>
  </si>
  <si>
    <t>2. Not all departments will have the same number of tripwires based on not having graduate programs or in a few cases a major</t>
  </si>
  <si>
    <t>Finance and Marketing</t>
  </si>
  <si>
    <t>AA</t>
  </si>
  <si>
    <t>FO</t>
  </si>
  <si>
    <t>Notes</t>
  </si>
  <si>
    <t>3. Cost based on most recent completed academic year (AY18-19), does not account for faculty tenure buyout</t>
  </si>
  <si>
    <t>Decline/Below average (&lt;100%)</t>
  </si>
  <si>
    <t>3 tenure buyouts not replaced and one retirement in last 12 months, difficult to separate ENGL vs. HUMN, etc.</t>
  </si>
  <si>
    <t>Tripwire</t>
  </si>
  <si>
    <t>Collaspable sections</t>
  </si>
  <si>
    <t>Percentage of Course &lt; 10 students</t>
  </si>
  <si>
    <t>Enrollment vs. APS cohort benchmark</t>
  </si>
  <si>
    <t>SCH Change from Previous Year</t>
  </si>
  <si>
    <t>Attempted SCH Change</t>
  </si>
  <si>
    <t>Graduate Students</t>
  </si>
  <si>
    <t>UG Degrees Granted</t>
  </si>
  <si>
    <t>Graduate Degrees Granted</t>
  </si>
  <si>
    <t>Measurement</t>
  </si>
  <si>
    <t>Highest 35% of programs</t>
  </si>
  <si>
    <t>&lt; 100%</t>
  </si>
  <si>
    <t>&gt; 120% of median</t>
  </si>
  <si>
    <t>&gt; 5% decline</t>
  </si>
  <si>
    <t>&lt; 20 average graduates</t>
  </si>
  <si>
    <t>EWU median SCH is $133 (120% = $160)</t>
  </si>
  <si>
    <t>Each degree in deparmtent individually measured</t>
  </si>
  <si>
    <t>Early projections from AA/FO imagined 35% of programs ending</t>
  </si>
  <si>
    <t>Fall 19 vs. Fall 16 comparison used</t>
  </si>
  <si>
    <t>Measure dpeartments against like peers</t>
  </si>
  <si>
    <t>Highest 35%</t>
  </si>
  <si>
    <t>Decline in graduates</t>
  </si>
  <si>
    <t>Cell Color Legend</t>
  </si>
  <si>
    <t>Original Version</t>
  </si>
  <si>
    <t>Core Tripwires</t>
  </si>
  <si>
    <t>Report Name: Trends in Student Enrollment by Degree, Major, Academic Year and Term</t>
  </si>
  <si>
    <t>Report Description: This report shows the annual trend in headcount of students enrolled by degree, major and term. Only students with any institutional coursework records during the time period selected are included. This may include unregistered, non gradable or audited coursework.</t>
  </si>
  <si>
    <t>Applied filters:</t>
  </si>
  <si>
    <t>Year (Custom Academic Year Date) BETWEEN This-5 AND This+1</t>
  </si>
  <si>
    <t/>
  </si>
  <si>
    <t>2015-16</t>
  </si>
  <si>
    <t>2016-17</t>
  </si>
  <si>
    <t>2017-18</t>
  </si>
  <si>
    <t>2018-19</t>
  </si>
  <si>
    <t>2019-20</t>
  </si>
  <si>
    <t>Term</t>
  </si>
  <si>
    <t>Fall Q/S</t>
  </si>
  <si>
    <t>Degree Name</t>
  </si>
  <si>
    <t>Major Name**</t>
  </si>
  <si>
    <t>Bachelor of Science</t>
  </si>
  <si>
    <t>BA in Business Administration</t>
  </si>
  <si>
    <t>Bachelor of Arts</t>
  </si>
  <si>
    <t>BS in Nursing</t>
  </si>
  <si>
    <t>Bachelor of Design</t>
  </si>
  <si>
    <t>Bachelor of Arts in Education</t>
  </si>
  <si>
    <t>Bachelor of Computer Science</t>
  </si>
  <si>
    <t>Technology</t>
  </si>
  <si>
    <t>Bachelor of Music in Education</t>
  </si>
  <si>
    <t>Bachelor of Music</t>
  </si>
  <si>
    <t>Health and Physical Education</t>
  </si>
  <si>
    <t>Bachelor of Fine Arts</t>
  </si>
  <si>
    <t>Musical Theatre</t>
  </si>
  <si>
    <t>Computer Information Systems</t>
  </si>
  <si>
    <t>BAB w/ undecided major</t>
  </si>
  <si>
    <t>Economics (Business)</t>
  </si>
  <si>
    <t>General Management</t>
  </si>
  <si>
    <t>Visual Communication Design</t>
  </si>
  <si>
    <t>Jazz Performance</t>
  </si>
  <si>
    <t>Health Science</t>
  </si>
  <si>
    <t>Rollup</t>
  </si>
  <si>
    <t>Master of Social Work</t>
  </si>
  <si>
    <t>Master of Occupational Therapy</t>
  </si>
  <si>
    <t>Master of Business Admin.</t>
  </si>
  <si>
    <t>Master of Public Admin.</t>
  </si>
  <si>
    <t>Master of Science</t>
  </si>
  <si>
    <t>Master of Fine Arts</t>
  </si>
  <si>
    <t>Master of Prof. Accounting</t>
  </si>
  <si>
    <t>Counseling</t>
  </si>
  <si>
    <t>Master of Education</t>
  </si>
  <si>
    <t>Educational Specialist</t>
  </si>
  <si>
    <t>School Psychology</t>
  </si>
  <si>
    <t>Master of Public Health</t>
  </si>
  <si>
    <t>Master of Arts</t>
  </si>
  <si>
    <t>Master of Urban &amp; Reg Planning</t>
  </si>
  <si>
    <t>Master of Music</t>
  </si>
  <si>
    <t>Applied Mathematics</t>
  </si>
  <si>
    <t>Literature</t>
  </si>
  <si>
    <t>Adult Education</t>
  </si>
  <si>
    <t>Instructional Media &amp; Tech</t>
  </si>
  <si>
    <t>Teaching K-8</t>
  </si>
  <si>
    <t>Applied Psychology</t>
  </si>
  <si>
    <t>16/17 - 18/19 Avergae</t>
  </si>
  <si>
    <t>16/17 - 18/19 Average</t>
  </si>
  <si>
    <t>Grad Degrees</t>
  </si>
  <si>
    <t>UG Degrees</t>
  </si>
  <si>
    <t>Programs</t>
  </si>
  <si>
    <t>Programs graduating 20 or more</t>
  </si>
  <si>
    <t>Percentage of Total</t>
  </si>
  <si>
    <t>Programs graduating 10 or more</t>
  </si>
  <si>
    <t>Total Declared Majors</t>
  </si>
  <si>
    <t>Programs with 30 or more</t>
  </si>
  <si>
    <t>Program Count</t>
  </si>
  <si>
    <t>Percent of Total</t>
  </si>
  <si>
    <t>Programs with 20 or more</t>
  </si>
  <si>
    <t>Degrees Granted Information</t>
  </si>
  <si>
    <t>Undergraduate</t>
  </si>
  <si>
    <t>Graduate</t>
  </si>
  <si>
    <t>Highest tripwire (top 30%)</t>
  </si>
  <si>
    <t>Lowest tripwire (bottom 30%)</t>
  </si>
  <si>
    <t>Middle tripwire group</t>
  </si>
  <si>
    <t>4. Core tripwires</t>
  </si>
  <si>
    <t xml:space="preserve">    % courses &lt; 10 students</t>
  </si>
  <si>
    <t xml:space="preserve">    Enrollment &lt; Benchmark</t>
  </si>
  <si>
    <t xml:space="preserve">    Cost Per SCH</t>
  </si>
  <si>
    <t xml:space="preserve">    Attempted SCH % Change (-5% or more)</t>
  </si>
  <si>
    <t xml:space="preserve">    % Decline UG Majors</t>
  </si>
  <si>
    <t xml:space="preserve">    % Decline Grad Students</t>
  </si>
  <si>
    <t>Date: 5/1/20</t>
  </si>
  <si>
    <t>Programs with 10 or more</t>
  </si>
  <si>
    <t>Programs with 15 or more</t>
  </si>
  <si>
    <t>Doctor of Physical Therapy</t>
  </si>
  <si>
    <t>Total Cost</t>
  </si>
  <si>
    <t>Major Cost</t>
  </si>
  <si>
    <t>Service Course Cost</t>
  </si>
  <si>
    <t>Insturctional Percentage</t>
  </si>
  <si>
    <t>Major</t>
  </si>
  <si>
    <t>Service</t>
  </si>
  <si>
    <t>Faculty Mix</t>
  </si>
  <si>
    <t>Tenure/Tenure Track</t>
  </si>
  <si>
    <t>Special Faculty</t>
  </si>
  <si>
    <t>QTF/GSA</t>
  </si>
  <si>
    <t>Note: Staffing Cost is hidden in these costs</t>
  </si>
  <si>
    <t>One Sheet Data</t>
  </si>
  <si>
    <t>FY21 CBL</t>
  </si>
  <si>
    <t>Special Faculty Sr.</t>
  </si>
  <si>
    <t>Staff - Classified</t>
  </si>
  <si>
    <t>Staff - Exempt</t>
  </si>
  <si>
    <t>Tenured</t>
  </si>
  <si>
    <t>Tenure Track</t>
  </si>
  <si>
    <t>Hourly/Student</t>
  </si>
  <si>
    <t>GSA/QTF</t>
  </si>
  <si>
    <t>Information Systems &amp; Business Analytics</t>
  </si>
  <si>
    <t xml:space="preserve"> </t>
  </si>
  <si>
    <t>Included Cost Data for These Departments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</si>
</sst>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_(* #,##0_);_(* \(#,##0\);_(* &quot;-&quot;??_);_(@_)"/>
    <numFmt numFmtId="166" formatCode="&quot;+&quot;##0.0%;&quot;+&quot;##0.0%"/>
    <numFmt numFmtId="167" formatCode="#,##0;#,##0"/>
    <numFmt numFmtId="168" formatCode="&quot;-&quot;##0.0%;&quot;-&quot;##0.0%"/>
    <numFmt numFmtId="169" formatCode="&quot;$&quot;#,##0"/>
  </numFmts>
  <fonts count="46">
    <font>
      <sz val="9"/>
      <color theme="1"/>
      <name val="Verdana"/>
      <family val="2"/>
      <scheme val="minor"/>
    </font>
    <font>
      <sz val="10"/>
      <name val="Arial"/>
      <family val="2"/>
    </font>
    <font>
      <sz val="11"/>
      <color theme="1"/>
      <name val="Verdana"/>
      <family val="2"/>
      <scheme val="minor"/>
    </font>
    <font>
      <i/>
      <sz val="9"/>
      <color theme="1"/>
      <name val="Verdana"/>
      <family val="2"/>
      <scheme val="minor"/>
    </font>
    <font>
      <b/>
      <sz val="10"/>
      <color theme="1"/>
      <name val="Verdana"/>
      <family val="2"/>
      <scheme val="minor"/>
    </font>
    <font>
      <b/>
      <sz val="10"/>
      <color theme="0"/>
      <name val="Verdana"/>
      <family val="2"/>
      <scheme val="minor"/>
    </font>
    <font>
      <sz val="20"/>
      <color theme="8"/>
      <name val="Rockwell"/>
      <family val="1"/>
    </font>
    <font>
      <sz val="13"/>
      <color theme="1"/>
      <name val="Verdana"/>
      <family val="2"/>
      <scheme val="minor"/>
    </font>
    <font>
      <i/>
      <sz val="10.5"/>
      <color theme="1"/>
      <name val="Verdana"/>
      <family val="2"/>
      <scheme val="minor"/>
    </font>
    <font>
      <sz val="9"/>
      <color rgb="FFCF0A2C"/>
      <name val="Verdana"/>
      <family val="2"/>
      <scheme val="minor"/>
    </font>
    <font>
      <sz val="9"/>
      <color rgb="FF6F912B"/>
      <name val="Verdana"/>
      <family val="2"/>
      <scheme val="minor"/>
    </font>
    <font>
      <sz val="9"/>
      <color rgb="FFD5801D"/>
      <name val="Verdana"/>
      <family val="2"/>
      <scheme val="minor"/>
    </font>
    <font>
      <i/>
      <sz val="9"/>
      <color theme="6"/>
      <name val="Verdana"/>
      <family val="2"/>
      <scheme val="minor"/>
    </font>
    <font>
      <b/>
      <sz val="9"/>
      <color theme="0"/>
      <name val="Verdana"/>
      <family val="2"/>
      <scheme val="minor"/>
    </font>
    <font>
      <sz val="9"/>
      <color rgb="FF0086B9"/>
      <name val="Verdana"/>
      <family val="2"/>
      <scheme val="minor"/>
    </font>
    <font>
      <u val="single"/>
      <sz val="9"/>
      <color theme="10"/>
      <name val="Arial"/>
      <family val="2"/>
    </font>
    <font>
      <u val="single"/>
      <sz val="9"/>
      <color theme="11"/>
      <name val="Arial"/>
      <family val="2"/>
    </font>
    <font>
      <sz val="9"/>
      <name val="Verdana"/>
      <family val="2"/>
      <scheme val="minor"/>
    </font>
    <font>
      <b/>
      <sz val="9"/>
      <color theme="7"/>
      <name val="Verdana"/>
      <family val="2"/>
      <scheme val="minor"/>
    </font>
    <font>
      <sz val="9"/>
      <color theme="7"/>
      <name val="Verdana"/>
      <family val="2"/>
      <scheme val="minor"/>
    </font>
    <font>
      <sz val="9"/>
      <color theme="0"/>
      <name val="Verdana"/>
      <family val="2"/>
      <scheme val="minor"/>
    </font>
    <font>
      <sz val="9"/>
      <color rgb="FFFF0000"/>
      <name val="Verdana"/>
      <family val="2"/>
      <scheme val="minor"/>
    </font>
    <font>
      <b/>
      <sz val="9"/>
      <color theme="1"/>
      <name val="Verdana"/>
      <family val="2"/>
      <scheme val="minor"/>
    </font>
    <font>
      <sz val="9"/>
      <name val="Tahoma"/>
      <family val="2"/>
    </font>
    <font>
      <b/>
      <sz val="9"/>
      <name val="Tahoma"/>
      <family val="2"/>
    </font>
    <font>
      <i/>
      <sz val="9"/>
      <color theme="7"/>
      <name val="Verdana"/>
      <family val="2"/>
      <scheme val="minor"/>
    </font>
    <font>
      <b/>
      <u val="single"/>
      <sz val="9"/>
      <color theme="1"/>
      <name val="Verdana"/>
      <family val="2"/>
      <scheme val="minor"/>
    </font>
    <font>
      <b/>
      <u val="single"/>
      <sz val="9"/>
      <color theme="8"/>
      <name val="Verdana"/>
      <family val="2"/>
      <scheme val="minor"/>
    </font>
    <font>
      <b/>
      <u val="single"/>
      <sz val="9"/>
      <color rgb="FFFF0000"/>
      <name val="Verdana"/>
      <family val="2"/>
      <scheme val="minor"/>
    </font>
    <font>
      <b/>
      <u val="single"/>
      <sz val="9"/>
      <name val="Verdana"/>
      <family val="2"/>
      <scheme val="minor"/>
    </font>
    <font>
      <b/>
      <sz val="8"/>
      <color theme="1"/>
      <name val="Verdana"/>
      <family val="2"/>
      <scheme val="minor"/>
    </font>
    <font>
      <sz val="22"/>
      <color theme="1"/>
      <name val="Times New Roman"/>
      <family val="1"/>
    </font>
    <font>
      <sz val="9"/>
      <color theme="1"/>
      <name val="Times New Roman"/>
      <family val="1"/>
    </font>
    <font>
      <sz val="9"/>
      <color rgb="FF808080"/>
      <name val="Times New Roman"/>
      <family val="1"/>
    </font>
    <font>
      <sz val="9"/>
      <color rgb="FF008000"/>
      <name val="Times New Roman"/>
      <family val="1"/>
    </font>
    <font>
      <sz val="9"/>
      <color rgb="FFFF0000"/>
      <name val="Times New Roman"/>
      <family val="1"/>
    </font>
    <font>
      <sz val="9"/>
      <color rgb="FF000000"/>
      <name val="Verdana"/>
      <family val="2"/>
      <scheme val="minor"/>
    </font>
    <font>
      <sz val="9"/>
      <color rgb="FF808080"/>
      <name val="Verdana"/>
      <family val="2"/>
      <scheme val="minor"/>
    </font>
    <font>
      <b/>
      <sz val="9"/>
      <color rgb="FF808080"/>
      <name val="Verdana"/>
      <family val="2"/>
      <scheme val="minor"/>
    </font>
    <font>
      <sz val="8"/>
      <color theme="1"/>
      <name val="Verdana"/>
      <family val="2"/>
    </font>
    <font>
      <sz val="8"/>
      <color rgb="FF000000"/>
      <name val="Verdana"/>
      <family val="2"/>
    </font>
    <font>
      <sz val="8"/>
      <color rgb="FF808080"/>
      <name val="Verdana"/>
      <family val="2"/>
    </font>
    <font>
      <sz val="8"/>
      <color theme="1"/>
      <name val="Verdana"/>
      <family val="2"/>
      <scheme val="minor"/>
    </font>
    <font>
      <sz val="10"/>
      <color theme="1" tint="0.35"/>
      <name val="Verdana"/>
      <family val="2"/>
    </font>
    <font>
      <sz val="9"/>
      <color theme="1" tint="0.35"/>
      <name val="+mn-cs"/>
      <family val="2"/>
    </font>
    <font>
      <b/>
      <sz val="8"/>
      <name val="Verdana"/>
      <family val="2"/>
    </font>
  </fonts>
  <fills count="23">
    <fill>
      <patternFill/>
    </fill>
    <fill>
      <patternFill patternType="gray125"/>
    </fill>
    <fill>
      <patternFill patternType="solid">
        <fgColor rgb="FFC3D997"/>
        <bgColor indexed="64"/>
      </patternFill>
    </fill>
    <fill>
      <patternFill patternType="solid">
        <fgColor rgb="FFFCC7D0"/>
        <bgColor indexed="64"/>
      </patternFill>
    </fill>
    <fill>
      <patternFill patternType="solid">
        <fgColor rgb="FFFFF09C"/>
        <bgColor indexed="64"/>
      </patternFill>
    </fill>
    <fill>
      <patternFill patternType="solid">
        <fgColor theme="4"/>
        <bgColor indexed="64"/>
      </patternFill>
    </fill>
    <fill>
      <patternFill patternType="solid">
        <fgColor rgb="FFF2F2F2"/>
        <bgColor indexed="64"/>
      </patternFill>
    </fill>
    <fill>
      <patternFill patternType="solid">
        <fgColor theme="7"/>
        <bgColor indexed="64"/>
      </patternFill>
    </fill>
    <fill>
      <gradientFill degree="90">
        <stop position="0">
          <color theme="5"/>
        </stop>
        <stop position="1">
          <color theme="6"/>
        </stop>
      </gradientFill>
    </fill>
    <fill>
      <gradientFill degree="90">
        <stop position="0">
          <color theme="9"/>
        </stop>
        <stop position="1">
          <color theme="9" tint="-0.2509700059890747"/>
        </stop>
      </gradientFill>
    </fill>
    <fill>
      <gradientFill degree="90">
        <stop position="0">
          <color theme="2"/>
        </stop>
        <stop position="1">
          <color theme="4" tint="-0.2509700059890747"/>
        </stop>
      </gradientFill>
    </fill>
    <fill>
      <gradientFill degree="90">
        <stop position="0">
          <color theme="6"/>
        </stop>
        <stop position="1">
          <color theme="6" tint="-0.2509700059890747"/>
        </stop>
      </gradientFill>
    </fill>
    <fill>
      <patternFill patternType="solid">
        <fgColor theme="2"/>
        <bgColor indexed="64"/>
      </patternFill>
    </fill>
    <fill>
      <patternFill patternType="solid">
        <fgColor theme="0"/>
        <bgColor indexed="64"/>
      </patternFill>
    </fill>
    <fill>
      <patternFill patternType="solid">
        <fgColor rgb="FF92D050"/>
        <bgColor indexed="64"/>
      </patternFill>
    </fill>
    <fill>
      <patternFill patternType="solid">
        <fgColor rgb="FFFFC000"/>
        <bgColor indexed="64"/>
      </patternFill>
    </fill>
    <fill>
      <patternFill patternType="solid">
        <fgColor rgb="FFFFFF00"/>
        <bgColor indexed="64"/>
      </patternFill>
    </fill>
    <fill>
      <patternFill patternType="solid">
        <fgColor rgb="FFFFFFFF"/>
        <bgColor indexed="64"/>
      </patternFill>
    </fill>
    <fill>
      <patternFill patternType="solid">
        <fgColor rgb="FFEEEEEE"/>
        <bgColor indexed="64"/>
      </patternFill>
    </fill>
    <fill>
      <patternFill patternType="solid">
        <fgColor rgb="FFFF9999"/>
        <bgColor indexed="64"/>
      </patternFill>
    </fill>
    <fill>
      <patternFill patternType="solid">
        <fgColor theme="0" tint="-0.3499799966812134"/>
        <bgColor indexed="64"/>
      </patternFill>
    </fill>
    <fill>
      <patternFill patternType="solid">
        <fgColor rgb="FF00B0F0"/>
        <bgColor indexed="64"/>
      </patternFill>
    </fill>
    <fill>
      <patternFill patternType="solid">
        <fgColor rgb="FF99FFCC"/>
        <bgColor indexed="64"/>
      </patternFill>
    </fill>
  </fills>
  <borders count="47">
    <border>
      <left/>
      <right/>
      <top/>
      <bottom/>
      <diagonal/>
    </border>
    <border>
      <left/>
      <right/>
      <top/>
      <bottom style="thick">
        <color theme="4" tint="0.49998000264167786"/>
      </bottom>
    </border>
    <border>
      <left style="thin">
        <color theme="6"/>
      </left>
      <right style="thin">
        <color theme="6"/>
      </right>
      <top style="thin">
        <color theme="6"/>
      </top>
      <bottom style="thin">
        <color theme="6"/>
      </bottom>
    </border>
    <border>
      <left/>
      <right/>
      <top/>
      <bottom style="medium">
        <color rgb="FF0086B9"/>
      </bottom>
    </border>
    <border>
      <left style="thin">
        <color theme="6"/>
      </left>
      <right style="thin">
        <color theme="6"/>
      </right>
      <top style="thin">
        <color theme="6"/>
      </top>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color theme="6"/>
      </left>
      <right/>
      <top style="thin">
        <color theme="6"/>
      </top>
      <bottom style="thin">
        <color theme="6"/>
      </bottom>
    </border>
    <border>
      <left style="thin">
        <color theme="6"/>
      </left>
      <right style="medium"/>
      <top style="thin">
        <color theme="6"/>
      </top>
      <bottom style="thin">
        <color theme="6"/>
      </bottom>
    </border>
    <border>
      <left style="medium"/>
      <right/>
      <top/>
      <bottom style="medium"/>
    </border>
    <border>
      <left/>
      <right/>
      <top/>
      <bottom style="medium"/>
    </border>
    <border>
      <left/>
      <right style="medium"/>
      <top/>
      <bottom style="medium"/>
    </border>
    <border>
      <left style="thin"/>
      <right style="thin"/>
      <top style="thin"/>
      <bottom style="thin"/>
    </border>
    <border>
      <left/>
      <right style="medium">
        <color rgb="FF000000"/>
      </right>
      <top style="thin">
        <color rgb="FF808080"/>
      </top>
      <bottom/>
    </border>
    <border>
      <left style="medium"/>
      <right/>
      <top style="medium"/>
      <bottom style="medium"/>
    </border>
    <border>
      <left/>
      <right/>
      <top style="medium"/>
      <bottom style="medium"/>
    </border>
    <border>
      <left/>
      <right style="medium"/>
      <top style="medium"/>
      <bottom style="medium"/>
    </border>
    <border>
      <left style="thin"/>
      <right/>
      <top style="thin"/>
      <bottom style="thin"/>
    </border>
    <border>
      <left/>
      <right/>
      <top/>
      <bottom style="thin"/>
    </border>
    <border>
      <left/>
      <right/>
      <top style="thin"/>
      <bottom style="thin"/>
    </border>
    <border>
      <left/>
      <right style="thin"/>
      <top style="thin"/>
      <bottom style="thin"/>
    </border>
    <border>
      <left style="medium"/>
      <right style="medium"/>
      <top style="medium"/>
      <bottom/>
    </border>
    <border>
      <left style="medium"/>
      <right style="medium"/>
      <top/>
      <bottom/>
    </border>
    <border>
      <left style="medium"/>
      <right style="medium"/>
      <top/>
      <bottom style="medium"/>
    </border>
    <border>
      <left style="thin">
        <color rgb="FF808080"/>
      </left>
      <right/>
      <top style="thin">
        <color rgb="FF808080"/>
      </top>
      <bottom/>
    </border>
    <border>
      <left/>
      <right style="thin">
        <color rgb="FF808080"/>
      </right>
      <top style="thin">
        <color rgb="FF808080"/>
      </top>
      <bottom style="thin">
        <color rgb="FF808080"/>
      </bottom>
    </border>
    <border>
      <left style="thin">
        <color rgb="FF808080"/>
      </left>
      <right/>
      <top/>
      <bottom/>
    </border>
    <border>
      <left/>
      <right style="medium">
        <color rgb="FF000000"/>
      </right>
      <top/>
      <bottom/>
    </border>
    <border>
      <left/>
      <right style="thin">
        <color rgb="FF808080"/>
      </right>
      <top/>
      <bottom style="thin">
        <color rgb="FF808080"/>
      </bottom>
    </border>
    <border>
      <left style="thin">
        <color rgb="FF808080"/>
      </left>
      <right/>
      <top/>
      <bottom style="medium">
        <color rgb="FF000000"/>
      </bottom>
    </border>
    <border>
      <left/>
      <right style="medium">
        <color rgb="FF000000"/>
      </right>
      <top/>
      <bottom style="medium">
        <color rgb="FF000000"/>
      </bottom>
    </border>
    <border>
      <left style="thin">
        <color rgb="FF808080"/>
      </left>
      <right style="thin">
        <color rgb="FF808080"/>
      </right>
      <top/>
      <bottom style="thin">
        <color rgb="FF808080"/>
      </bottom>
    </border>
    <border>
      <left/>
      <right style="medium">
        <color rgb="FF000000"/>
      </right>
      <top/>
      <bottom style="thin">
        <color rgb="FF808080"/>
      </bottom>
    </border>
    <border>
      <left style="thin">
        <color rgb="FF808080"/>
      </left>
      <right style="medium">
        <color rgb="FF000000"/>
      </right>
      <top/>
      <bottom style="thin">
        <color rgb="FF808080"/>
      </bottom>
    </border>
    <border>
      <left/>
      <right style="thin">
        <color theme="6"/>
      </right>
      <top style="thin">
        <color theme="6"/>
      </top>
      <bottom style="thin">
        <color theme="6"/>
      </bottom>
    </border>
    <border>
      <left/>
      <right style="medium"/>
      <top style="thin">
        <color theme="6"/>
      </top>
      <bottom style="thin">
        <color theme="6"/>
      </bottom>
    </border>
    <border>
      <left style="thin">
        <color theme="6"/>
      </left>
      <right/>
      <top/>
      <bottom style="thin">
        <color theme="6"/>
      </bottom>
    </border>
    <border>
      <left/>
      <right style="thin">
        <color theme="6"/>
      </right>
      <top/>
      <bottom style="thin">
        <color theme="6"/>
      </bottom>
    </border>
    <border>
      <left/>
      <right style="medium"/>
      <top/>
      <bottom style="thin">
        <color theme="6"/>
      </bottom>
    </border>
    <border>
      <left style="thin"/>
      <right style="medium"/>
      <top style="thin"/>
      <bottom style="thin"/>
    </border>
    <border>
      <left style="thin">
        <color theme="6"/>
      </left>
      <right/>
      <top style="thin">
        <color theme="6"/>
      </top>
      <bottom/>
    </border>
    <border>
      <left/>
      <right style="thin">
        <color theme="6"/>
      </right>
      <top style="thin">
        <color theme="6"/>
      </top>
      <bottom/>
    </border>
    <border>
      <left/>
      <right style="medium"/>
      <top style="thin">
        <color theme="6"/>
      </top>
      <bottom/>
    </border>
    <border>
      <left/>
      <right/>
      <top style="thin">
        <color theme="6"/>
      </top>
      <bottom/>
    </border>
  </borders>
  <cellStyleXfs count="4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xf numFmtId="0" fontId="6" fillId="0" borderId="0" applyNumberFormat="0" applyFill="0" applyBorder="0" applyAlignment="0" applyProtection="0"/>
    <xf numFmtId="0" fontId="7" fillId="0" borderId="1" applyNumberFormat="0" applyFill="0" applyBorder="0" applyAlignment="0" applyProtection="0"/>
    <xf numFmtId="0" fontId="8" fillId="0" borderId="0" applyNumberFormat="0" applyFill="0" applyAlignment="0" applyProtection="0"/>
    <xf numFmtId="0" fontId="4" fillId="0" borderId="0" applyNumberFormat="0" applyFill="0" applyBorder="0" applyAlignment="0" applyProtection="0"/>
    <xf numFmtId="0" fontId="10" fillId="2" borderId="0" applyNumberFormat="0" applyBorder="0" applyAlignment="0" applyProtection="0"/>
    <xf numFmtId="0" fontId="9" fillId="3" borderId="0" applyNumberFormat="0" applyBorder="0" applyAlignment="0" applyProtection="0"/>
    <xf numFmtId="0" fontId="11" fillId="4" borderId="0" applyNumberFormat="0" applyBorder="0" applyAlignment="0" applyProtection="0"/>
    <xf numFmtId="0" fontId="0" fillId="5" borderId="2" applyNumberFormat="0" applyAlignment="0" applyProtection="0"/>
    <xf numFmtId="0" fontId="0" fillId="6" borderId="2" applyNumberFormat="0" applyAlignment="0" applyProtection="0"/>
    <xf numFmtId="0" fontId="0" fillId="0" borderId="2" applyNumberFormat="0" applyAlignment="0" applyProtection="0"/>
    <xf numFmtId="0" fontId="14" fillId="0" borderId="3" applyNumberFormat="0" applyFill="0" applyAlignment="0" applyProtection="0"/>
    <xf numFmtId="0" fontId="13" fillId="7" borderId="0" applyNumberFormat="0" applyAlignment="0" applyProtection="0"/>
    <xf numFmtId="0" fontId="9" fillId="0" borderId="0" applyNumberFormat="0" applyFill="0" applyBorder="0" applyAlignment="0" applyProtection="0"/>
    <xf numFmtId="0" fontId="0" fillId="4" borderId="0" applyNumberFormat="0" applyAlignment="0" applyProtection="0"/>
    <xf numFmtId="0" fontId="12" fillId="0" borderId="0" applyNumberFormat="0" applyFill="0" applyBorder="0" applyAlignment="0" applyProtection="0"/>
    <xf numFmtId="0" fontId="15" fillId="0" borderId="0" applyNumberFormat="0" applyFill="0" applyBorder="0">
      <alignment/>
      <protection locked="0"/>
    </xf>
    <xf numFmtId="0" fontId="16" fillId="0" borderId="0" applyNumberFormat="0" applyFill="0" applyBorder="0">
      <alignment/>
      <protection locked="0"/>
    </xf>
    <xf numFmtId="0" fontId="5" fillId="8" borderId="4" applyBorder="0">
      <alignment horizontal="center" vertical="center"/>
      <protection/>
    </xf>
    <xf numFmtId="0" fontId="5" fillId="9" borderId="4" applyBorder="0">
      <alignment horizontal="center" vertical="center"/>
      <protection/>
    </xf>
    <xf numFmtId="0" fontId="4" fillId="10" borderId="4" applyBorder="0">
      <alignment horizontal="center" vertical="center"/>
      <protection/>
    </xf>
    <xf numFmtId="0" fontId="5" fillId="11" borderId="4" applyBorder="0">
      <alignment horizontal="center" vertical="center"/>
      <protection/>
    </xf>
    <xf numFmtId="0" fontId="0" fillId="12" borderId="0">
      <alignment/>
      <protection/>
    </xf>
    <xf numFmtId="0" fontId="2" fillId="0" borderId="0">
      <alignment/>
      <protection/>
    </xf>
  </cellStyleXfs>
  <cellXfs count="333">
    <xf numFmtId="0" fontId="0" fillId="0" borderId="0" xfId="0"/>
    <xf numFmtId="0" fontId="0" fillId="0" borderId="0" xfId="0" applyFont="1"/>
    <xf numFmtId="0" fontId="0" fillId="13" borderId="0" xfId="0" applyFont="1" applyFill="1" applyBorder="1"/>
    <xf numFmtId="0" fontId="17" fillId="13" borderId="0" xfId="0" applyFont="1" applyFill="1" applyBorder="1" applyAlignment="1" applyProtection="1">
      <alignment/>
      <protection/>
    </xf>
    <xf numFmtId="0" fontId="19" fillId="13" borderId="0" xfId="0" applyFont="1" applyFill="1" applyBorder="1" applyAlignment="1" applyProtection="1">
      <alignment/>
      <protection/>
    </xf>
    <xf numFmtId="0" fontId="17" fillId="0" borderId="0" xfId="0" applyFont="1" applyFill="1" applyBorder="1" applyAlignment="1" applyProtection="1">
      <alignment/>
      <protection/>
    </xf>
    <xf numFmtId="0" fontId="19" fillId="13" borderId="0" xfId="0" applyFont="1" applyFill="1" applyBorder="1" applyAlignment="1">
      <alignment/>
    </xf>
    <xf numFmtId="0" fontId="17" fillId="13" borderId="0" xfId="0" applyFont="1" applyFill="1" applyBorder="1" applyAlignment="1">
      <alignment/>
    </xf>
    <xf numFmtId="0" fontId="17" fillId="13" borderId="0" xfId="0" applyFont="1" applyFill="1" applyBorder="1" applyAlignment="1" applyProtection="1">
      <alignment wrapText="1"/>
      <protection/>
    </xf>
    <xf numFmtId="0" fontId="20" fillId="13" borderId="0" xfId="0" applyFont="1" applyFill="1" applyBorder="1" applyAlignment="1" applyProtection="1">
      <alignment horizontal="center" wrapText="1"/>
      <protection/>
    </xf>
    <xf numFmtId="0" fontId="0" fillId="0" borderId="0" xfId="0" applyAlignment="1">
      <alignment/>
    </xf>
    <xf numFmtId="0" fontId="4" fillId="0" borderId="0" xfId="24" applyAlignment="1">
      <alignment/>
    </xf>
    <xf numFmtId="0" fontId="0" fillId="0" borderId="0" xfId="0" applyFill="1"/>
    <xf numFmtId="0" fontId="21" fillId="13" borderId="0" xfId="0" applyFont="1" applyFill="1" applyBorder="1" applyAlignment="1" applyProtection="1">
      <alignment horizontal="center"/>
      <protection/>
    </xf>
    <xf numFmtId="0" fontId="21" fillId="13" borderId="0" xfId="0" applyFont="1" applyFill="1" applyBorder="1" applyAlignment="1" applyProtection="1">
      <alignment/>
      <protection/>
    </xf>
    <xf numFmtId="0" fontId="0" fillId="13" borderId="0" xfId="0" applyFont="1" applyFill="1" applyBorder="1" applyAlignment="1">
      <alignment vertical="center" wrapText="1"/>
    </xf>
    <xf numFmtId="0" fontId="21" fillId="13" borderId="0" xfId="0" applyFont="1" applyFill="1" applyBorder="1" applyAlignment="1">
      <alignment horizontal="right"/>
    </xf>
    <xf numFmtId="0" fontId="22" fillId="13" borderId="5" xfId="0" applyFont="1" applyFill="1" applyBorder="1"/>
    <xf numFmtId="0" fontId="0" fillId="13" borderId="6" xfId="0" applyFont="1" applyFill="1" applyBorder="1" applyAlignment="1">
      <alignment vertical="center" wrapText="1"/>
    </xf>
    <xf numFmtId="0" fontId="0" fillId="13" borderId="7" xfId="0" applyFont="1" applyFill="1" applyBorder="1" applyAlignment="1">
      <alignment vertical="center" wrapText="1"/>
    </xf>
    <xf numFmtId="0" fontId="0" fillId="13" borderId="8" xfId="0" applyFont="1" applyFill="1" applyBorder="1"/>
    <xf numFmtId="0" fontId="18" fillId="13" borderId="8" xfId="0" applyFont="1" applyFill="1" applyBorder="1" applyAlignment="1" applyProtection="1">
      <alignment/>
      <protection/>
    </xf>
    <xf numFmtId="0" fontId="0" fillId="0" borderId="0" xfId="0" applyBorder="1" applyAlignment="1">
      <alignment/>
    </xf>
    <xf numFmtId="0" fontId="0" fillId="0" borderId="0" xfId="0" applyFont="1" applyBorder="1"/>
    <xf numFmtId="0" fontId="0" fillId="0" borderId="9" xfId="0" applyFont="1" applyBorder="1"/>
    <xf numFmtId="0" fontId="17" fillId="13" borderId="9" xfId="0" applyFont="1" applyFill="1" applyBorder="1" applyAlignment="1" applyProtection="1">
      <alignment wrapText="1"/>
      <protection/>
    </xf>
    <xf numFmtId="0" fontId="20" fillId="13" borderId="9" xfId="0" applyFont="1" applyFill="1" applyBorder="1" applyAlignment="1" applyProtection="1">
      <alignment horizontal="center" wrapText="1"/>
      <protection/>
    </xf>
    <xf numFmtId="0" fontId="21" fillId="0" borderId="0" xfId="0" applyFont="1" applyBorder="1" applyAlignment="1">
      <alignment/>
    </xf>
    <xf numFmtId="0" fontId="0" fillId="0" borderId="0" xfId="0" applyBorder="1"/>
    <xf numFmtId="0" fontId="19" fillId="13" borderId="0" xfId="0" applyFont="1" applyFill="1" applyBorder="1" applyAlignment="1" applyProtection="1">
      <alignment horizontal="right"/>
      <protection/>
    </xf>
    <xf numFmtId="0" fontId="19" fillId="13" borderId="0" xfId="0" applyFont="1" applyFill="1" applyBorder="1" applyAlignment="1">
      <alignment horizontal="right"/>
    </xf>
    <xf numFmtId="9" fontId="21" fillId="13" borderId="0" xfId="15" applyFont="1" applyFill="1" applyBorder="1"/>
    <xf numFmtId="9" fontId="17" fillId="5" borderId="10" xfId="15" applyFont="1" applyFill="1" applyBorder="1" applyAlignment="1" applyProtection="1">
      <alignment horizontal="center" vertical="center" wrapText="1"/>
      <protection/>
    </xf>
    <xf numFmtId="0" fontId="0" fillId="0" borderId="9" xfId="0" applyBorder="1"/>
    <xf numFmtId="0" fontId="21" fillId="0" borderId="0" xfId="0" applyFont="1" applyBorder="1" applyAlignment="1">
      <alignment horizontal="center"/>
    </xf>
    <xf numFmtId="0" fontId="21" fillId="0" borderId="9" xfId="0" applyFont="1" applyBorder="1" applyAlignment="1">
      <alignment horizontal="center"/>
    </xf>
    <xf numFmtId="9" fontId="17" fillId="5" borderId="11" xfId="15" applyFont="1" applyFill="1" applyBorder="1" applyAlignment="1" applyProtection="1">
      <alignment horizontal="center" vertical="center" wrapText="1"/>
      <protection/>
    </xf>
    <xf numFmtId="0" fontId="0" fillId="0" borderId="8" xfId="0" applyBorder="1"/>
    <xf numFmtId="0" fontId="0" fillId="0" borderId="8" xfId="0" applyFont="1" applyBorder="1"/>
    <xf numFmtId="0" fontId="0" fillId="0" borderId="12" xfId="0" applyFont="1" applyBorder="1"/>
    <xf numFmtId="0" fontId="0" fillId="0" borderId="13" xfId="0" applyFont="1" applyBorder="1"/>
    <xf numFmtId="0" fontId="0" fillId="0" borderId="14" xfId="0" applyFont="1" applyBorder="1"/>
    <xf numFmtId="0" fontId="25" fillId="13" borderId="0" xfId="0" applyFont="1" applyFill="1" applyBorder="1" applyAlignment="1" applyProtection="1">
      <alignment horizontal="right"/>
      <protection/>
    </xf>
    <xf numFmtId="0" fontId="26" fillId="0" borderId="0" xfId="0" applyFont="1" applyFill="1"/>
    <xf numFmtId="0" fontId="28" fillId="0" borderId="0" xfId="0" applyFont="1" applyBorder="1"/>
    <xf numFmtId="0" fontId="3" fillId="13" borderId="8" xfId="0" applyFont="1" applyFill="1" applyBorder="1"/>
    <xf numFmtId="0" fontId="0" fillId="14" borderId="0" xfId="0" applyFill="1" applyAlignment="1">
      <alignment/>
    </xf>
    <xf numFmtId="0" fontId="0" fillId="14" borderId="0" xfId="0" applyFill="1"/>
    <xf numFmtId="0" fontId="19" fillId="14" borderId="0" xfId="0" applyFont="1" applyFill="1" applyBorder="1" applyAlignment="1" applyProtection="1">
      <alignment/>
      <protection/>
    </xf>
    <xf numFmtId="0" fontId="17" fillId="14" borderId="0" xfId="0" applyFont="1" applyFill="1" applyBorder="1" applyAlignment="1" applyProtection="1">
      <alignment/>
      <protection/>
    </xf>
    <xf numFmtId="0" fontId="19" fillId="14" borderId="0" xfId="0" applyFont="1" applyFill="1" applyBorder="1" applyAlignment="1" applyProtection="1">
      <alignment horizontal="right"/>
      <protection/>
    </xf>
    <xf numFmtId="9" fontId="21" fillId="15" borderId="0" xfId="15" applyFont="1" applyFill="1" applyBorder="1"/>
    <xf numFmtId="0" fontId="19" fillId="15" borderId="0" xfId="0" applyFont="1" applyFill="1" applyBorder="1" applyAlignment="1" applyProtection="1">
      <alignment/>
      <protection/>
    </xf>
    <xf numFmtId="0" fontId="17" fillId="15" borderId="0" xfId="0" applyFont="1" applyFill="1" applyBorder="1" applyAlignment="1" applyProtection="1">
      <alignment/>
      <protection/>
    </xf>
    <xf numFmtId="0" fontId="21" fillId="15" borderId="0" xfId="0" applyFont="1" applyFill="1" applyBorder="1" applyAlignment="1" applyProtection="1">
      <alignment horizontal="right"/>
      <protection/>
    </xf>
    <xf numFmtId="0" fontId="21" fillId="15" borderId="0" xfId="0" applyFont="1" applyFill="1" applyAlignment="1">
      <alignment/>
    </xf>
    <xf numFmtId="2" fontId="0" fillId="0" borderId="0" xfId="0" applyNumberFormat="1" applyBorder="1" applyAlignment="1">
      <alignment/>
    </xf>
    <xf numFmtId="0" fontId="17" fillId="5" borderId="10" xfId="0" applyFont="1" applyFill="1" applyBorder="1" applyAlignment="1" applyProtection="1">
      <alignment horizontal="center" vertical="center" wrapText="1"/>
      <protection/>
    </xf>
    <xf numFmtId="164" fontId="17" fillId="0" borderId="0" xfId="0" applyNumberFormat="1" applyFont="1" applyFill="1" applyBorder="1" applyAlignment="1" applyProtection="1">
      <alignment horizontal="center" wrapText="1"/>
      <protection/>
    </xf>
    <xf numFmtId="164" fontId="17" fillId="0" borderId="9" xfId="0" applyNumberFormat="1" applyFont="1" applyFill="1" applyBorder="1" applyAlignment="1" applyProtection="1">
      <alignment horizontal="center" wrapText="1"/>
      <protection/>
    </xf>
    <xf numFmtId="164" fontId="17" fillId="0" borderId="0" xfId="15" applyNumberFormat="1" applyFont="1" applyFill="1" applyBorder="1" applyAlignment="1" applyProtection="1">
      <alignment horizontal="center" wrapText="1"/>
      <protection/>
    </xf>
    <xf numFmtId="164" fontId="17" fillId="0" borderId="9" xfId="15" applyNumberFormat="1" applyFont="1" applyFill="1" applyBorder="1" applyAlignment="1" applyProtection="1">
      <alignment horizontal="center" wrapText="1"/>
      <protection/>
    </xf>
    <xf numFmtId="0" fontId="22" fillId="13" borderId="8" xfId="0" applyFont="1" applyFill="1" applyBorder="1"/>
    <xf numFmtId="0" fontId="17" fillId="13" borderId="0" xfId="0" applyFont="1" applyFill="1" applyBorder="1" applyAlignment="1" applyProtection="1">
      <alignment horizontal="right"/>
      <protection/>
    </xf>
    <xf numFmtId="0" fontId="0" fillId="0" borderId="8" xfId="0" applyFont="1" applyFill="1" applyBorder="1"/>
    <xf numFmtId="0" fontId="0" fillId="0" borderId="0" xfId="0" applyFill="1" applyBorder="1" applyAlignment="1">
      <alignment/>
    </xf>
    <xf numFmtId="0" fontId="19" fillId="0" borderId="0" xfId="0" applyFont="1" applyFill="1" applyBorder="1" applyAlignment="1" applyProtection="1">
      <alignment/>
      <protection/>
    </xf>
    <xf numFmtId="0" fontId="19" fillId="0" borderId="0" xfId="0" applyFont="1" applyFill="1" applyBorder="1" applyAlignment="1" applyProtection="1">
      <alignment horizontal="right"/>
      <protection/>
    </xf>
    <xf numFmtId="2" fontId="0" fillId="0" borderId="0" xfId="0" applyNumberFormat="1" applyFill="1" applyBorder="1" applyAlignment="1">
      <alignment/>
    </xf>
    <xf numFmtId="0" fontId="0" fillId="0" borderId="0" xfId="0" applyFill="1" applyAlignment="1">
      <alignment/>
    </xf>
    <xf numFmtId="2" fontId="17" fillId="0" borderId="0" xfId="0" applyNumberFormat="1" applyFont="1" applyFill="1" applyBorder="1" applyAlignment="1" applyProtection="1">
      <alignment horizontal="center" wrapText="1"/>
      <protection/>
    </xf>
    <xf numFmtId="2" fontId="17" fillId="0" borderId="9" xfId="0" applyNumberFormat="1" applyFont="1" applyFill="1" applyBorder="1" applyAlignment="1" applyProtection="1">
      <alignment horizontal="center" wrapText="1"/>
      <protection/>
    </xf>
    <xf numFmtId="164" fontId="17" fillId="13" borderId="0" xfId="0" applyNumberFormat="1" applyFont="1" applyFill="1" applyBorder="1" applyAlignment="1" applyProtection="1">
      <alignment/>
      <protection/>
    </xf>
    <xf numFmtId="3" fontId="17"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center" wrapText="1"/>
      <protection/>
    </xf>
    <xf numFmtId="0" fontId="17" fillId="0" borderId="9" xfId="0" applyNumberFormat="1" applyFont="1" applyFill="1" applyBorder="1" applyAlignment="1" applyProtection="1">
      <alignment horizontal="center" wrapText="1"/>
      <protection/>
    </xf>
    <xf numFmtId="0" fontId="17" fillId="5" borderId="10" xfId="0" applyFont="1" applyFill="1" applyBorder="1" applyAlignment="1" applyProtection="1">
      <alignment horizontal="center" vertical="center" wrapText="1"/>
      <protection/>
    </xf>
    <xf numFmtId="2" fontId="17" fillId="5" borderId="10" xfId="0" applyNumberFormat="1" applyFont="1" applyFill="1" applyBorder="1" applyAlignment="1" applyProtection="1">
      <alignment horizontal="center" vertical="center" wrapText="1"/>
      <protection/>
    </xf>
    <xf numFmtId="4" fontId="0" fillId="0" borderId="0" xfId="0" applyNumberFormat="1"/>
    <xf numFmtId="4" fontId="0" fillId="0" borderId="0" xfId="0" applyNumberFormat="1" applyBorder="1" applyAlignment="1">
      <alignment/>
    </xf>
    <xf numFmtId="4" fontId="19" fillId="13" borderId="0" xfId="0" applyNumberFormat="1" applyFont="1" applyFill="1" applyBorder="1" applyAlignment="1" applyProtection="1">
      <alignment/>
      <protection/>
    </xf>
    <xf numFmtId="3" fontId="19" fillId="13" borderId="0" xfId="0" applyNumberFormat="1" applyFont="1" applyFill="1" applyBorder="1" applyAlignment="1" applyProtection="1">
      <alignment/>
      <protection/>
    </xf>
    <xf numFmtId="0" fontId="0" fillId="0" borderId="12" xfId="0" applyBorder="1"/>
    <xf numFmtId="9" fontId="0" fillId="0" borderId="0" xfId="15" applyFont="1"/>
    <xf numFmtId="9" fontId="0" fillId="0" borderId="0" xfId="15" applyFont="1" applyBorder="1"/>
    <xf numFmtId="9" fontId="0" fillId="0" borderId="13" xfId="15" applyFont="1" applyBorder="1"/>
    <xf numFmtId="164" fontId="0" fillId="0" borderId="0" xfId="15" applyNumberFormat="1" applyFont="1"/>
    <xf numFmtId="164" fontId="0" fillId="0" borderId="0" xfId="15" applyNumberFormat="1" applyFont="1" applyBorder="1"/>
    <xf numFmtId="43" fontId="0" fillId="0" borderId="0" xfId="18" applyFont="1"/>
    <xf numFmtId="2" fontId="0" fillId="0" borderId="0" xfId="0" applyNumberFormat="1" applyBorder="1"/>
    <xf numFmtId="0" fontId="0" fillId="0" borderId="0" xfId="0" applyNumberFormat="1"/>
    <xf numFmtId="0" fontId="0" fillId="0" borderId="9" xfId="0" applyNumberFormat="1" applyBorder="1"/>
    <xf numFmtId="2" fontId="0" fillId="0" borderId="0" xfId="15" applyNumberFormat="1" applyFont="1" applyBorder="1"/>
    <xf numFmtId="0" fontId="0" fillId="0" borderId="9" xfId="15" applyNumberFormat="1" applyFont="1" applyBorder="1"/>
    <xf numFmtId="2" fontId="0" fillId="0" borderId="13" xfId="15" applyNumberFormat="1" applyFont="1" applyBorder="1"/>
    <xf numFmtId="0" fontId="0" fillId="0" borderId="14" xfId="15" applyNumberFormat="1" applyFont="1" applyBorder="1"/>
    <xf numFmtId="1" fontId="0" fillId="0" borderId="0" xfId="0" applyNumberFormat="1"/>
    <xf numFmtId="1" fontId="0" fillId="0" borderId="0" xfId="0" applyNumberFormat="1" applyBorder="1"/>
    <xf numFmtId="1" fontId="0" fillId="0" borderId="0" xfId="15" applyNumberFormat="1" applyFont="1" applyBorder="1"/>
    <xf numFmtId="1" fontId="0" fillId="0" borderId="13" xfId="15" applyNumberFormat="1" applyFont="1" applyBorder="1"/>
    <xf numFmtId="2" fontId="0" fillId="0" borderId="0" xfId="18" applyNumberFormat="1" applyFont="1" applyBorder="1"/>
    <xf numFmtId="2" fontId="0" fillId="0" borderId="13" xfId="18" applyNumberFormat="1" applyFont="1" applyBorder="1"/>
    <xf numFmtId="0" fontId="19" fillId="16" borderId="0" xfId="0" applyFont="1" applyFill="1" applyBorder="1" applyAlignment="1" applyProtection="1">
      <alignment horizontal="right"/>
      <protection/>
    </xf>
    <xf numFmtId="0" fontId="19" fillId="16" borderId="0" xfId="0" applyFont="1" applyFill="1" applyBorder="1" applyAlignment="1" applyProtection="1">
      <alignment/>
      <protection/>
    </xf>
    <xf numFmtId="0" fontId="17" fillId="16" borderId="0" xfId="0" applyFont="1" applyFill="1" applyBorder="1" applyAlignment="1" applyProtection="1">
      <alignment/>
      <protection/>
    </xf>
    <xf numFmtId="2" fontId="0" fillId="0" borderId="8" xfId="0" applyNumberFormat="1" applyBorder="1"/>
    <xf numFmtId="2" fontId="0" fillId="0" borderId="0" xfId="15" applyNumberFormat="1" applyFont="1"/>
    <xf numFmtId="2" fontId="0" fillId="0" borderId="12" xfId="0" applyNumberFormat="1" applyBorder="1"/>
    <xf numFmtId="0" fontId="30" fillId="0" borderId="5" xfId="0" applyFont="1" applyBorder="1" applyAlignment="1">
      <alignment horizontal="center" textRotation="90"/>
    </xf>
    <xf numFmtId="2" fontId="30" fillId="0" borderId="6" xfId="15" applyNumberFormat="1" applyFont="1" applyBorder="1" applyAlignment="1">
      <alignment horizontal="center" textRotation="90"/>
    </xf>
    <xf numFmtId="0" fontId="30" fillId="0" borderId="6" xfId="0" applyFont="1" applyBorder="1" applyAlignment="1">
      <alignment horizontal="center" textRotation="90"/>
    </xf>
    <xf numFmtId="1" fontId="30" fillId="0" borderId="6" xfId="0" applyNumberFormat="1" applyFont="1" applyBorder="1" applyAlignment="1">
      <alignment horizontal="center" textRotation="90"/>
    </xf>
    <xf numFmtId="0" fontId="30" fillId="0" borderId="7" xfId="0" applyFont="1" applyBorder="1" applyAlignment="1">
      <alignment horizontal="center" textRotation="90"/>
    </xf>
    <xf numFmtId="0" fontId="17" fillId="5" borderId="10" xfId="0" applyFont="1" applyFill="1" applyBorder="1" applyAlignment="1" applyProtection="1">
      <alignment horizontal="center" vertical="center" wrapText="1"/>
      <protection/>
    </xf>
    <xf numFmtId="2" fontId="0" fillId="0" borderId="13" xfId="0" applyNumberFormat="1" applyBorder="1"/>
    <xf numFmtId="9" fontId="0" fillId="0" borderId="9" xfId="15" applyFont="1" applyBorder="1"/>
    <xf numFmtId="9" fontId="0" fillId="0" borderId="14" xfId="15" applyFont="1" applyBorder="1"/>
    <xf numFmtId="165" fontId="0" fillId="0" borderId="0" xfId="18" applyNumberFormat="1" applyFont="1" applyBorder="1"/>
    <xf numFmtId="165" fontId="0" fillId="0" borderId="13" xfId="18" applyNumberFormat="1" applyFont="1" applyBorder="1"/>
    <xf numFmtId="165" fontId="0" fillId="0" borderId="9" xfId="18" applyNumberFormat="1" applyFont="1" applyBorder="1"/>
    <xf numFmtId="165" fontId="0" fillId="0" borderId="14" xfId="18" applyNumberFormat="1" applyFont="1" applyBorder="1"/>
    <xf numFmtId="164" fontId="30" fillId="0" borderId="6" xfId="15" applyNumberFormat="1" applyFont="1" applyBorder="1" applyAlignment="1">
      <alignment horizontal="center" textRotation="90"/>
    </xf>
    <xf numFmtId="9" fontId="30" fillId="0" borderId="6" xfId="15" applyFont="1" applyBorder="1" applyAlignment="1">
      <alignment horizontal="center" textRotation="90"/>
    </xf>
    <xf numFmtId="43" fontId="30" fillId="0" borderId="6" xfId="18" applyFont="1" applyBorder="1" applyAlignment="1">
      <alignment horizontal="center" textRotation="90"/>
    </xf>
    <xf numFmtId="0" fontId="30" fillId="0" borderId="7" xfId="0" applyNumberFormat="1" applyFont="1" applyBorder="1" applyAlignment="1">
      <alignment horizontal="center" textRotation="90"/>
    </xf>
    <xf numFmtId="0" fontId="17" fillId="5" borderId="10" xfId="0" applyFont="1" applyFill="1" applyBorder="1" applyAlignment="1" applyProtection="1">
      <alignment horizontal="center" vertical="center" wrapText="1"/>
      <protection/>
    </xf>
    <xf numFmtId="3" fontId="0" fillId="0" borderId="0" xfId="0" applyNumberFormat="1"/>
    <xf numFmtId="0" fontId="0" fillId="0" borderId="0" xfId="15" applyNumberFormat="1" applyFont="1" applyBorder="1"/>
    <xf numFmtId="0" fontId="31" fillId="0" borderId="0" xfId="0" applyFont="1"/>
    <xf numFmtId="1" fontId="0" fillId="0" borderId="0" xfId="0" applyNumberFormat="1" applyFont="1"/>
    <xf numFmtId="0" fontId="0" fillId="0" borderId="0" xfId="0" applyNumberFormat="1" applyFont="1"/>
    <xf numFmtId="0" fontId="32" fillId="0" borderId="0" xfId="0" applyFont="1"/>
    <xf numFmtId="0" fontId="22" fillId="0" borderId="5" xfId="0" applyFont="1" applyBorder="1" applyAlignment="1">
      <alignment horizontal="center" textRotation="90"/>
    </xf>
    <xf numFmtId="9" fontId="22" fillId="0" borderId="6" xfId="15" applyFont="1" applyBorder="1" applyAlignment="1">
      <alignment horizontal="center" textRotation="90"/>
    </xf>
    <xf numFmtId="43" fontId="22" fillId="0" borderId="6" xfId="18" applyFont="1" applyBorder="1" applyAlignment="1">
      <alignment horizontal="center" textRotation="90"/>
    </xf>
    <xf numFmtId="1" fontId="22" fillId="0" borderId="6" xfId="0" applyNumberFormat="1" applyFont="1" applyBorder="1" applyAlignment="1">
      <alignment horizontal="center" textRotation="90"/>
    </xf>
    <xf numFmtId="0" fontId="22" fillId="0" borderId="7" xfId="0" applyNumberFormat="1" applyFont="1" applyBorder="1" applyAlignment="1">
      <alignment horizontal="center" textRotation="90"/>
    </xf>
    <xf numFmtId="2" fontId="22" fillId="0" borderId="6" xfId="15" applyNumberFormat="1" applyFont="1" applyBorder="1" applyAlignment="1">
      <alignment horizontal="center" textRotation="90"/>
    </xf>
    <xf numFmtId="0" fontId="22" fillId="0" borderId="6" xfId="0" applyFont="1" applyBorder="1" applyAlignment="1">
      <alignment horizontal="center" textRotation="90"/>
    </xf>
    <xf numFmtId="1" fontId="0" fillId="0" borderId="0" xfId="0" applyNumberFormat="1" applyFont="1" applyBorder="1"/>
    <xf numFmtId="0" fontId="0" fillId="0" borderId="9" xfId="0" applyNumberFormat="1" applyFont="1" applyBorder="1"/>
    <xf numFmtId="2" fontId="0" fillId="0" borderId="8" xfId="0" applyNumberFormat="1" applyFont="1" applyBorder="1"/>
    <xf numFmtId="3" fontId="0" fillId="0" borderId="0" xfId="0" applyNumberFormat="1" applyFont="1"/>
    <xf numFmtId="49" fontId="33" fillId="17" borderId="15" xfId="0" applyNumberFormat="1" applyFont="1" applyFill="1" applyBorder="1" applyAlignment="1">
      <alignment horizontal="left" vertical="top"/>
    </xf>
    <xf numFmtId="43" fontId="33" fillId="17" borderId="15" xfId="18" applyFont="1" applyFill="1" applyBorder="1" applyAlignment="1">
      <alignment horizontal="left" vertical="top"/>
    </xf>
    <xf numFmtId="3" fontId="32" fillId="18" borderId="15" xfId="0" applyNumberFormat="1" applyFont="1" applyFill="1" applyBorder="1" applyAlignment="1">
      <alignment horizontal="right" vertical="center"/>
    </xf>
    <xf numFmtId="166" fontId="34" fillId="18" borderId="15" xfId="0" applyNumberFormat="1" applyFont="1" applyFill="1" applyBorder="1" applyAlignment="1">
      <alignment horizontal="right" vertical="center"/>
    </xf>
    <xf numFmtId="3" fontId="32" fillId="17" borderId="15" xfId="0" applyNumberFormat="1" applyFont="1" applyFill="1" applyBorder="1" applyAlignment="1">
      <alignment horizontal="right" vertical="center"/>
    </xf>
    <xf numFmtId="166" fontId="34" fillId="17" borderId="15" xfId="0" applyNumberFormat="1" applyFont="1" applyFill="1" applyBorder="1" applyAlignment="1">
      <alignment horizontal="right" vertical="center"/>
    </xf>
    <xf numFmtId="168" fontId="35" fillId="18" borderId="15" xfId="0" applyNumberFormat="1" applyFont="1" applyFill="1" applyBorder="1" applyAlignment="1">
      <alignment horizontal="right" vertical="center"/>
    </xf>
    <xf numFmtId="168" fontId="35" fillId="17" borderId="15" xfId="0" applyNumberFormat="1" applyFont="1" applyFill="1" applyBorder="1" applyAlignment="1">
      <alignment horizontal="right" vertical="center"/>
    </xf>
    <xf numFmtId="0" fontId="32" fillId="18" borderId="15" xfId="0" applyNumberFormat="1" applyFont="1" applyFill="1" applyBorder="1" applyAlignment="1">
      <alignment horizontal="right" vertical="center"/>
    </xf>
    <xf numFmtId="166" fontId="32" fillId="18" borderId="15" xfId="0" applyNumberFormat="1" applyFont="1" applyFill="1" applyBorder="1" applyAlignment="1">
      <alignment horizontal="right" vertical="center"/>
    </xf>
    <xf numFmtId="2" fontId="0" fillId="0" borderId="12" xfId="0" applyNumberFormat="1" applyFont="1" applyBorder="1"/>
    <xf numFmtId="43" fontId="32" fillId="0" borderId="0" xfId="0" applyNumberFormat="1" applyFont="1"/>
    <xf numFmtId="0" fontId="32" fillId="16" borderId="0" xfId="0" applyFont="1" applyFill="1"/>
    <xf numFmtId="0" fontId="32" fillId="19" borderId="0" xfId="0" applyFont="1" applyFill="1"/>
    <xf numFmtId="0" fontId="36" fillId="17" borderId="16" xfId="0" applyFont="1" applyFill="1" applyBorder="1" applyAlignment="1">
      <alignment horizontal="left" vertical="center"/>
    </xf>
    <xf numFmtId="49" fontId="37" fillId="17" borderId="0" xfId="0" applyNumberFormat="1" applyFont="1" applyFill="1" applyBorder="1" applyAlignment="1">
      <alignment vertical="center"/>
    </xf>
    <xf numFmtId="0" fontId="38" fillId="17" borderId="15" xfId="0" applyNumberFormat="1" applyFont="1" applyFill="1" applyBorder="1" applyAlignment="1">
      <alignment horizontal="left" vertical="top"/>
    </xf>
    <xf numFmtId="1" fontId="0" fillId="0" borderId="15" xfId="0" applyNumberFormat="1" applyFont="1" applyBorder="1"/>
    <xf numFmtId="9" fontId="0" fillId="18" borderId="15" xfId="15" applyFont="1" applyFill="1" applyBorder="1" applyAlignment="1">
      <alignment horizontal="right" vertical="center"/>
    </xf>
    <xf numFmtId="167" fontId="0" fillId="0" borderId="15" xfId="0" applyNumberFormat="1" applyFont="1" applyBorder="1"/>
    <xf numFmtId="49" fontId="38" fillId="17" borderId="15" xfId="0" applyNumberFormat="1" applyFont="1" applyFill="1" applyBorder="1" applyAlignment="1">
      <alignment horizontal="left" vertical="top"/>
    </xf>
    <xf numFmtId="9" fontId="0" fillId="18" borderId="15" xfId="15" applyNumberFormat="1" applyFont="1" applyFill="1" applyBorder="1" applyAlignment="1">
      <alignment horizontal="right" vertical="center"/>
    </xf>
    <xf numFmtId="0" fontId="0" fillId="0" borderId="17" xfId="0" applyFont="1" applyBorder="1"/>
    <xf numFmtId="0" fontId="0" fillId="0" borderId="18" xfId="0" applyFont="1" applyBorder="1"/>
    <xf numFmtId="165" fontId="0" fillId="0" borderId="19" xfId="18" applyNumberFormat="1" applyFont="1" applyBorder="1"/>
    <xf numFmtId="0" fontId="0" fillId="0" borderId="5" xfId="0" applyFont="1" applyBorder="1"/>
    <xf numFmtId="0" fontId="0" fillId="0" borderId="6" xfId="0" applyFont="1" applyBorder="1"/>
    <xf numFmtId="165" fontId="0" fillId="0" borderId="7" xfId="18" applyNumberFormat="1" applyFont="1" applyBorder="1"/>
    <xf numFmtId="0" fontId="0" fillId="16" borderId="17" xfId="0" applyFont="1" applyFill="1" applyBorder="1"/>
    <xf numFmtId="9" fontId="0" fillId="18" borderId="15" xfId="15" applyFont="1" applyFill="1" applyBorder="1" applyAlignment="1">
      <alignment horizontal="right" vertical="center"/>
    </xf>
    <xf numFmtId="167" fontId="0" fillId="0" borderId="15" xfId="0" applyNumberFormat="1" applyFont="1" applyBorder="1"/>
    <xf numFmtId="0" fontId="0" fillId="0" borderId="0" xfId="0" applyFont="1" applyFill="1" applyBorder="1"/>
    <xf numFmtId="0" fontId="0" fillId="0" borderId="0" xfId="0" applyFont="1" applyFill="1"/>
    <xf numFmtId="49" fontId="38" fillId="17" borderId="0" xfId="0" applyNumberFormat="1" applyFont="1" applyFill="1" applyBorder="1" applyAlignment="1">
      <alignment horizontal="left" vertical="top"/>
    </xf>
    <xf numFmtId="9" fontId="0" fillId="18" borderId="0" xfId="15" applyNumberFormat="1" applyFont="1" applyFill="1" applyBorder="1" applyAlignment="1">
      <alignment horizontal="right" vertical="center"/>
    </xf>
    <xf numFmtId="167" fontId="0" fillId="0" borderId="0" xfId="0" applyNumberFormat="1" applyFont="1" applyBorder="1"/>
    <xf numFmtId="49" fontId="33" fillId="17" borderId="20" xfId="0" applyNumberFormat="1" applyFont="1" applyFill="1" applyBorder="1" applyAlignment="1">
      <alignment horizontal="left" vertical="top"/>
    </xf>
    <xf numFmtId="2" fontId="0" fillId="0" borderId="0" xfId="0" applyNumberFormat="1" applyFont="1" applyBorder="1"/>
    <xf numFmtId="0" fontId="0" fillId="0" borderId="15" xfId="0" applyFont="1" applyBorder="1"/>
    <xf numFmtId="0" fontId="0" fillId="0" borderId="6" xfId="0" applyBorder="1"/>
    <xf numFmtId="0" fontId="0" fillId="0" borderId="13" xfId="0" applyBorder="1"/>
    <xf numFmtId="165" fontId="0" fillId="0" borderId="0" xfId="18" applyNumberFormat="1" applyFont="1"/>
    <xf numFmtId="0" fontId="0" fillId="0" borderId="5" xfId="0" applyBorder="1"/>
    <xf numFmtId="165" fontId="0" fillId="0" borderId="0" xfId="18" applyNumberFormat="1" applyFont="1" applyFill="1" applyBorder="1"/>
    <xf numFmtId="0" fontId="0" fillId="0" borderId="17" xfId="0" applyFont="1" applyFill="1" applyBorder="1"/>
    <xf numFmtId="0" fontId="0" fillId="0" borderId="17" xfId="0" applyBorder="1"/>
    <xf numFmtId="0" fontId="0" fillId="0" borderId="18" xfId="0" applyBorder="1"/>
    <xf numFmtId="49" fontId="33" fillId="17" borderId="0" xfId="0" applyNumberFormat="1" applyFont="1" applyFill="1" applyBorder="1" applyAlignment="1">
      <alignment horizontal="left" vertical="top"/>
    </xf>
    <xf numFmtId="9" fontId="0" fillId="0" borderId="0" xfId="15" applyFont="1" applyFill="1" applyBorder="1"/>
    <xf numFmtId="43" fontId="0" fillId="0" borderId="0" xfId="18" applyFont="1" applyBorder="1"/>
    <xf numFmtId="0" fontId="0" fillId="0" borderId="0" xfId="0" applyNumberFormat="1" applyFont="1" applyBorder="1"/>
    <xf numFmtId="0" fontId="32" fillId="15" borderId="0" xfId="0" applyFont="1" applyFill="1"/>
    <xf numFmtId="0" fontId="32" fillId="20" borderId="0" xfId="0" applyFont="1" applyFill="1"/>
    <xf numFmtId="9" fontId="0" fillId="0" borderId="15" xfId="15" applyFont="1" applyFill="1" applyBorder="1" applyAlignment="1">
      <alignment horizontal="right" vertical="center"/>
    </xf>
    <xf numFmtId="2" fontId="33" fillId="17" borderId="15" xfId="0" applyNumberFormat="1" applyFont="1" applyFill="1" applyBorder="1" applyAlignment="1">
      <alignment horizontal="left" vertical="top"/>
    </xf>
    <xf numFmtId="43" fontId="32" fillId="0" borderId="0" xfId="18" applyFont="1"/>
    <xf numFmtId="43" fontId="32" fillId="18" borderId="15" xfId="18" applyFont="1" applyFill="1" applyBorder="1" applyAlignment="1">
      <alignment horizontal="right" vertical="center"/>
    </xf>
    <xf numFmtId="43" fontId="32" fillId="17" borderId="15" xfId="18" applyFont="1" applyFill="1" applyBorder="1" applyAlignment="1">
      <alignment horizontal="right" vertical="center"/>
    </xf>
    <xf numFmtId="9" fontId="0" fillId="0" borderId="0" xfId="0" applyNumberFormat="1"/>
    <xf numFmtId="0" fontId="22" fillId="0" borderId="21" xfId="0" applyFont="1" applyBorder="1"/>
    <xf numFmtId="0" fontId="22" fillId="0" borderId="21" xfId="0" applyFont="1" applyFill="1" applyBorder="1"/>
    <xf numFmtId="0" fontId="32" fillId="21" borderId="0" xfId="0" applyFont="1" applyFill="1"/>
    <xf numFmtId="43" fontId="32" fillId="0" borderId="15" xfId="18" applyFont="1" applyFill="1" applyBorder="1" applyAlignment="1">
      <alignment horizontal="right" vertical="center"/>
    </xf>
    <xf numFmtId="43" fontId="33" fillId="0" borderId="15" xfId="18" applyFont="1" applyFill="1" applyBorder="1" applyAlignment="1">
      <alignment horizontal="left" vertical="top"/>
    </xf>
    <xf numFmtId="165" fontId="33" fillId="0" borderId="15" xfId="18" applyNumberFormat="1" applyFont="1" applyFill="1" applyBorder="1" applyAlignment="1">
      <alignment horizontal="left" vertical="top"/>
    </xf>
    <xf numFmtId="3" fontId="32" fillId="0" borderId="15" xfId="0" applyNumberFormat="1" applyFont="1" applyFill="1" applyBorder="1" applyAlignment="1">
      <alignment horizontal="right" vertical="center"/>
    </xf>
    <xf numFmtId="164" fontId="32" fillId="0" borderId="15" xfId="15" applyNumberFormat="1" applyFont="1" applyFill="1" applyBorder="1" applyAlignment="1">
      <alignment horizontal="right" vertical="center"/>
    </xf>
    <xf numFmtId="43" fontId="32" fillId="0" borderId="22" xfId="18" applyFont="1" applyFill="1" applyBorder="1" applyAlignment="1">
      <alignment horizontal="right" vertical="center"/>
    </xf>
    <xf numFmtId="43" fontId="33" fillId="0" borderId="22" xfId="18" applyFont="1" applyFill="1" applyBorder="1" applyAlignment="1">
      <alignment horizontal="left" vertical="top"/>
    </xf>
    <xf numFmtId="3" fontId="32" fillId="0" borderId="22" xfId="0" applyNumberFormat="1" applyFont="1" applyFill="1" applyBorder="1" applyAlignment="1">
      <alignment horizontal="right" vertical="center"/>
    </xf>
    <xf numFmtId="43" fontId="0" fillId="0" borderId="0" xfId="18" applyFont="1" applyFill="1"/>
    <xf numFmtId="43" fontId="32" fillId="0" borderId="0" xfId="18" applyFont="1" applyFill="1" applyBorder="1" applyAlignment="1">
      <alignment horizontal="right" vertical="center"/>
    </xf>
    <xf numFmtId="43" fontId="33" fillId="0" borderId="0" xfId="18" applyFont="1" applyFill="1" applyBorder="1" applyAlignment="1">
      <alignment horizontal="left" vertical="top"/>
    </xf>
    <xf numFmtId="3" fontId="32" fillId="0" borderId="0" xfId="0" applyNumberFormat="1" applyFont="1" applyFill="1" applyBorder="1" applyAlignment="1">
      <alignment horizontal="right" vertical="center"/>
    </xf>
    <xf numFmtId="166" fontId="34" fillId="0" borderId="15" xfId="0" applyNumberFormat="1" applyFont="1" applyFill="1" applyBorder="1" applyAlignment="1">
      <alignment horizontal="right" vertical="center"/>
    </xf>
    <xf numFmtId="168" fontId="35" fillId="0" borderId="15" xfId="0" applyNumberFormat="1" applyFont="1" applyFill="1" applyBorder="1" applyAlignment="1">
      <alignment horizontal="right" vertical="center"/>
    </xf>
    <xf numFmtId="166" fontId="34" fillId="0" borderId="23" xfId="0" applyNumberFormat="1" applyFont="1" applyFill="1" applyBorder="1" applyAlignment="1">
      <alignment horizontal="right" vertical="center"/>
    </xf>
    <xf numFmtId="168" fontId="35" fillId="0" borderId="0" xfId="0" applyNumberFormat="1" applyFont="1" applyFill="1" applyBorder="1" applyAlignment="1">
      <alignment horizontal="right" vertical="center"/>
    </xf>
    <xf numFmtId="0" fontId="32" fillId="0" borderId="0" xfId="0" applyFont="1" applyFill="1"/>
    <xf numFmtId="0" fontId="22" fillId="0" borderId="24" xfId="0" applyFont="1" applyBorder="1"/>
    <xf numFmtId="0" fontId="32" fillId="15" borderId="25" xfId="0" applyFont="1" applyFill="1" applyBorder="1"/>
    <xf numFmtId="0" fontId="32" fillId="20" borderId="25" xfId="0" applyFont="1" applyFill="1" applyBorder="1"/>
    <xf numFmtId="0" fontId="32" fillId="16" borderId="25" xfId="0" applyFont="1" applyFill="1" applyBorder="1"/>
    <xf numFmtId="0" fontId="32" fillId="19" borderId="25" xfId="0" applyFont="1" applyFill="1" applyBorder="1"/>
    <xf numFmtId="0" fontId="32" fillId="21" borderId="26" xfId="0" applyFont="1" applyFill="1" applyBorder="1"/>
    <xf numFmtId="0" fontId="39" fillId="0" borderId="0" xfId="43" applyFont="1" applyAlignment="1">
      <alignment horizontal="left" vertical="center"/>
      <protection/>
    </xf>
    <xf numFmtId="0" fontId="2" fillId="0" borderId="0" xfId="43">
      <alignment/>
      <protection/>
    </xf>
    <xf numFmtId="0" fontId="40" fillId="17" borderId="27" xfId="43" applyFont="1" applyFill="1" applyBorder="1" applyAlignment="1">
      <alignment horizontal="left" vertical="center"/>
      <protection/>
    </xf>
    <xf numFmtId="0" fontId="40" fillId="17" borderId="16" xfId="43" applyFont="1" applyFill="1" applyBorder="1" applyAlignment="1">
      <alignment horizontal="left" vertical="center"/>
      <protection/>
    </xf>
    <xf numFmtId="49" fontId="41" fillId="17" borderId="28" xfId="43" applyNumberFormat="1" applyFont="1" applyFill="1" applyBorder="1" applyAlignment="1">
      <alignment vertical="center"/>
      <protection/>
    </xf>
    <xf numFmtId="0" fontId="40" fillId="17" borderId="29" xfId="43" applyFont="1" applyFill="1" applyBorder="1" applyAlignment="1">
      <alignment horizontal="left" vertical="center"/>
      <protection/>
    </xf>
    <xf numFmtId="0" fontId="40" fillId="17" borderId="30" xfId="43" applyFont="1" applyFill="1" applyBorder="1" applyAlignment="1">
      <alignment horizontal="left" vertical="center"/>
      <protection/>
    </xf>
    <xf numFmtId="49" fontId="41" fillId="17" borderId="31" xfId="43" applyNumberFormat="1" applyFont="1" applyFill="1" applyBorder="1" applyAlignment="1">
      <alignment horizontal="left" vertical="center"/>
      <protection/>
    </xf>
    <xf numFmtId="0" fontId="40" fillId="17" borderId="32" xfId="43" applyFont="1" applyFill="1" applyBorder="1" applyAlignment="1">
      <alignment horizontal="left" vertical="center"/>
      <protection/>
    </xf>
    <xf numFmtId="0" fontId="40" fillId="17" borderId="33" xfId="43" applyFont="1" applyFill="1" applyBorder="1" applyAlignment="1">
      <alignment horizontal="left" vertical="center"/>
      <protection/>
    </xf>
    <xf numFmtId="49" fontId="41" fillId="17" borderId="34" xfId="43" applyNumberFormat="1" applyFont="1" applyFill="1" applyBorder="1" applyAlignment="1">
      <alignment vertical="top"/>
      <protection/>
    </xf>
    <xf numFmtId="49" fontId="41" fillId="17" borderId="35" xfId="43" applyNumberFormat="1" applyFont="1" applyFill="1" applyBorder="1" applyAlignment="1">
      <alignment horizontal="left" vertical="top"/>
      <protection/>
    </xf>
    <xf numFmtId="167" fontId="39" fillId="18" borderId="31" xfId="43" applyNumberFormat="1" applyFont="1" applyFill="1" applyBorder="1" applyAlignment="1">
      <alignment horizontal="right" vertical="center"/>
      <protection/>
    </xf>
    <xf numFmtId="49" fontId="41" fillId="17" borderId="34" xfId="43" applyNumberFormat="1" applyFont="1" applyFill="1" applyBorder="1" applyAlignment="1">
      <alignment horizontal="left" vertical="top"/>
      <protection/>
    </xf>
    <xf numFmtId="0" fontId="2" fillId="0" borderId="0" xfId="43" applyFill="1">
      <alignment/>
      <protection/>
    </xf>
    <xf numFmtId="0" fontId="0" fillId="0" borderId="13" xfId="0" applyFont="1" applyFill="1" applyBorder="1"/>
    <xf numFmtId="0" fontId="0" fillId="0" borderId="7" xfId="0" applyFont="1" applyBorder="1"/>
    <xf numFmtId="165" fontId="0" fillId="0" borderId="9" xfId="18" applyNumberFormat="1" applyFont="1" applyFill="1" applyBorder="1"/>
    <xf numFmtId="165" fontId="0" fillId="0" borderId="19" xfId="18" applyNumberFormat="1" applyFont="1" applyFill="1" applyBorder="1"/>
    <xf numFmtId="165" fontId="0" fillId="0" borderId="7" xfId="18" applyNumberFormat="1" applyFont="1" applyFill="1" applyBorder="1"/>
    <xf numFmtId="0" fontId="0" fillId="0" borderId="7" xfId="0" applyBorder="1"/>
    <xf numFmtId="165" fontId="0" fillId="0" borderId="0" xfId="0" applyNumberFormat="1"/>
    <xf numFmtId="165" fontId="0" fillId="0" borderId="0" xfId="0" applyNumberFormat="1" applyFont="1"/>
    <xf numFmtId="165" fontId="0" fillId="0" borderId="0" xfId="18" applyNumberFormat="1" applyFont="1"/>
    <xf numFmtId="164" fontId="0" fillId="0" borderId="0" xfId="15" applyNumberFormat="1" applyFont="1"/>
    <xf numFmtId="0" fontId="42" fillId="0" borderId="0" xfId="43" applyFont="1">
      <alignment/>
      <protection/>
    </xf>
    <xf numFmtId="167" fontId="42" fillId="0" borderId="0" xfId="43" applyNumberFormat="1" applyFont="1">
      <alignment/>
      <protection/>
    </xf>
    <xf numFmtId="164" fontId="42" fillId="0" borderId="0" xfId="15" applyNumberFormat="1" applyFont="1"/>
    <xf numFmtId="0" fontId="22" fillId="0" borderId="0" xfId="0" applyFont="1" applyAlignment="1">
      <alignment/>
    </xf>
    <xf numFmtId="165" fontId="0" fillId="0" borderId="8" xfId="18" applyNumberFormat="1" applyFont="1" applyBorder="1"/>
    <xf numFmtId="164" fontId="0" fillId="0" borderId="12" xfId="15" applyNumberFormat="1" applyFont="1" applyBorder="1"/>
    <xf numFmtId="164" fontId="0" fillId="0" borderId="14" xfId="15" applyNumberFormat="1" applyFont="1" applyBorder="1"/>
    <xf numFmtId="0" fontId="0" fillId="22" borderId="0" xfId="0" applyFill="1"/>
    <xf numFmtId="0" fontId="0" fillId="19" borderId="0" xfId="0" applyFill="1"/>
    <xf numFmtId="0" fontId="0" fillId="0" borderId="8" xfId="0" applyBorder="1" applyAlignment="1">
      <alignment horizontal="center"/>
    </xf>
    <xf numFmtId="0" fontId="0" fillId="0" borderId="9" xfId="0" applyBorder="1" applyAlignment="1">
      <alignment horizontal="center"/>
    </xf>
    <xf numFmtId="0" fontId="0" fillId="0" borderId="0" xfId="43" applyFont="1">
      <alignment/>
      <protection/>
    </xf>
    <xf numFmtId="167" fontId="0" fillId="0" borderId="0" xfId="43" applyNumberFormat="1" applyFont="1">
      <alignment/>
      <protection/>
    </xf>
    <xf numFmtId="0" fontId="0" fillId="0" borderId="8" xfId="0" applyBorder="1" applyAlignment="1">
      <alignment horizontal="center"/>
    </xf>
    <xf numFmtId="0" fontId="0" fillId="0" borderId="9" xfId="0" applyBorder="1" applyAlignment="1">
      <alignment horizontal="center"/>
    </xf>
    <xf numFmtId="0" fontId="22" fillId="0" borderId="0" xfId="0" applyFont="1" applyFill="1" applyBorder="1"/>
    <xf numFmtId="0" fontId="22" fillId="0" borderId="0" xfId="0" applyFont="1" applyFill="1" applyBorder="1" applyAlignment="1">
      <alignment horizontal="center"/>
    </xf>
    <xf numFmtId="0" fontId="3" fillId="0" borderId="0" xfId="0" applyFont="1"/>
    <xf numFmtId="167" fontId="2" fillId="0" borderId="0" xfId="43" applyNumberFormat="1" applyFont="1">
      <alignment/>
      <protection/>
    </xf>
    <xf numFmtId="49" fontId="41" fillId="17" borderId="0" xfId="43" applyNumberFormat="1" applyFont="1" applyFill="1" applyBorder="1" applyAlignment="1">
      <alignment vertical="center"/>
      <protection/>
    </xf>
    <xf numFmtId="49" fontId="41" fillId="17" borderId="0" xfId="43" applyNumberFormat="1" applyFont="1" applyFill="1" applyBorder="1" applyAlignment="1">
      <alignment horizontal="left" vertical="center"/>
      <protection/>
    </xf>
    <xf numFmtId="167" fontId="39" fillId="18" borderId="0" xfId="43" applyNumberFormat="1" applyFont="1" applyFill="1" applyBorder="1" applyAlignment="1">
      <alignment horizontal="right" vertical="center"/>
      <protection/>
    </xf>
    <xf numFmtId="164" fontId="39" fillId="18" borderId="0" xfId="43" applyNumberFormat="1" applyFont="1" applyFill="1" applyBorder="1" applyAlignment="1">
      <alignment horizontal="right" vertical="center"/>
      <protection/>
    </xf>
    <xf numFmtId="164" fontId="2" fillId="0" borderId="0" xfId="43" applyNumberFormat="1">
      <alignment/>
      <protection/>
    </xf>
    <xf numFmtId="2" fontId="0" fillId="0" borderId="0" xfId="0" applyNumberFormat="1"/>
    <xf numFmtId="169" fontId="0" fillId="0" borderId="0" xfId="15" applyNumberFormat="1" applyFont="1"/>
    <xf numFmtId="0" fontId="0" fillId="16" borderId="0" xfId="0" applyFill="1"/>
    <xf numFmtId="9" fontId="0" fillId="16" borderId="0" xfId="15" applyFont="1" applyFill="1"/>
    <xf numFmtId="0" fontId="0" fillId="0" borderId="8" xfId="0" applyBorder="1" applyAlignment="1">
      <alignment horizontal="center"/>
    </xf>
    <xf numFmtId="0" fontId="0" fillId="0" borderId="9" xfId="0" applyBorder="1" applyAlignment="1">
      <alignment horizontal="center"/>
    </xf>
    <xf numFmtId="0" fontId="22" fillId="0" borderId="21" xfId="0" applyFont="1" applyBorder="1" applyAlignment="1">
      <alignment horizontal="center"/>
    </xf>
    <xf numFmtId="0" fontId="22" fillId="0" borderId="0" xfId="0" applyFont="1" applyAlignment="1">
      <alignment horizontal="center"/>
    </xf>
    <xf numFmtId="0" fontId="22" fillId="0" borderId="0" xfId="0" applyFont="1" applyFill="1" applyBorder="1" applyAlignment="1">
      <alignment horizontal="center"/>
    </xf>
    <xf numFmtId="0" fontId="22" fillId="0" borderId="5" xfId="0" applyFont="1" applyBorder="1" applyAlignment="1">
      <alignment horizontal="center"/>
    </xf>
    <xf numFmtId="0" fontId="22" fillId="0" borderId="6" xfId="0" applyFont="1" applyBorder="1" applyAlignment="1">
      <alignment horizontal="center"/>
    </xf>
    <xf numFmtId="0" fontId="22" fillId="0" borderId="7" xfId="0" applyFont="1" applyBorder="1" applyAlignment="1">
      <alignment horizontal="center"/>
    </xf>
    <xf numFmtId="0" fontId="0" fillId="0" borderId="8" xfId="0" applyFont="1" applyBorder="1" applyAlignment="1">
      <alignment horizontal="center"/>
    </xf>
    <xf numFmtId="0" fontId="0" fillId="0" borderId="0" xfId="0" applyFont="1" applyAlignment="1">
      <alignment horizontal="center"/>
    </xf>
    <xf numFmtId="49" fontId="40" fillId="17" borderId="36" xfId="43" applyNumberFormat="1" applyFont="1" applyFill="1" applyBorder="1" applyAlignment="1">
      <alignment horizontal="left" vertical="top"/>
      <protection/>
    </xf>
    <xf numFmtId="0" fontId="32" fillId="0" borderId="0" xfId="0" applyFont="1" applyAlignment="1">
      <alignment horizontal="center" wrapText="1"/>
    </xf>
    <xf numFmtId="164" fontId="17" fillId="5" borderId="10" xfId="15" applyNumberFormat="1" applyFont="1" applyFill="1" applyBorder="1" applyAlignment="1" applyProtection="1">
      <alignment horizontal="center" wrapText="1"/>
      <protection/>
    </xf>
    <xf numFmtId="164" fontId="17" fillId="5" borderId="37" xfId="15" applyNumberFormat="1" applyFont="1" applyFill="1" applyBorder="1" applyAlignment="1" applyProtection="1">
      <alignment horizontal="center" wrapText="1"/>
      <protection/>
    </xf>
    <xf numFmtId="164" fontId="17" fillId="5" borderId="38" xfId="15" applyNumberFormat="1" applyFont="1" applyFill="1" applyBorder="1" applyAlignment="1" applyProtection="1">
      <alignment horizontal="center" wrapText="1"/>
      <protection/>
    </xf>
    <xf numFmtId="0" fontId="17" fillId="5" borderId="10" xfId="0" applyFont="1" applyFill="1" applyBorder="1" applyAlignment="1" applyProtection="1">
      <alignment horizontal="center" wrapText="1"/>
      <protection/>
    </xf>
    <xf numFmtId="0" fontId="17" fillId="5" borderId="37" xfId="0" applyFont="1" applyFill="1" applyBorder="1" applyAlignment="1" applyProtection="1">
      <alignment horizontal="center" wrapText="1"/>
      <protection/>
    </xf>
    <xf numFmtId="0" fontId="17" fillId="5" borderId="38" xfId="0" applyFont="1" applyFill="1" applyBorder="1" applyAlignment="1" applyProtection="1">
      <alignment horizontal="center" wrapText="1"/>
      <protection/>
    </xf>
    <xf numFmtId="2" fontId="17" fillId="5" borderId="39" xfId="0" applyNumberFormat="1" applyFont="1" applyFill="1" applyBorder="1" applyAlignment="1" applyProtection="1">
      <alignment horizontal="center" wrapText="1"/>
      <protection/>
    </xf>
    <xf numFmtId="2" fontId="17" fillId="5" borderId="40" xfId="0" applyNumberFormat="1" applyFont="1" applyFill="1" applyBorder="1" applyAlignment="1" applyProtection="1">
      <alignment horizontal="center" wrapText="1"/>
      <protection/>
    </xf>
    <xf numFmtId="2" fontId="17" fillId="5" borderId="41" xfId="0" applyNumberFormat="1" applyFont="1" applyFill="1" applyBorder="1" applyAlignment="1" applyProtection="1">
      <alignment horizontal="center" wrapText="1"/>
      <protection/>
    </xf>
    <xf numFmtId="2" fontId="17" fillId="5" borderId="10" xfId="0" applyNumberFormat="1" applyFont="1" applyFill="1" applyBorder="1" applyAlignment="1" applyProtection="1">
      <alignment horizontal="center" wrapText="1"/>
      <protection/>
    </xf>
    <xf numFmtId="2" fontId="17" fillId="5" borderId="37" xfId="0" applyNumberFormat="1" applyFont="1" applyFill="1" applyBorder="1" applyAlignment="1" applyProtection="1">
      <alignment horizontal="center" wrapText="1"/>
      <protection/>
    </xf>
    <xf numFmtId="2" fontId="17" fillId="5" borderId="38" xfId="0" applyNumberFormat="1" applyFont="1" applyFill="1" applyBorder="1" applyAlignment="1" applyProtection="1">
      <alignment horizontal="center" wrapText="1"/>
      <protection/>
    </xf>
    <xf numFmtId="2" fontId="17" fillId="5" borderId="15" xfId="0" applyNumberFormat="1" applyFont="1" applyFill="1" applyBorder="1" applyAlignment="1" applyProtection="1">
      <alignment horizontal="center" wrapText="1"/>
      <protection/>
    </xf>
    <xf numFmtId="2" fontId="17" fillId="5" borderId="42" xfId="0" applyNumberFormat="1" applyFont="1" applyFill="1" applyBorder="1" applyAlignment="1" applyProtection="1">
      <alignment horizontal="center" wrapText="1"/>
      <protection/>
    </xf>
    <xf numFmtId="2" fontId="17" fillId="5" borderId="43" xfId="0" applyNumberFormat="1" applyFont="1" applyFill="1" applyBorder="1" applyAlignment="1" applyProtection="1">
      <alignment horizontal="center" wrapText="1"/>
      <protection/>
    </xf>
    <xf numFmtId="2" fontId="17" fillId="5" borderId="44" xfId="0" applyNumberFormat="1" applyFont="1" applyFill="1" applyBorder="1" applyAlignment="1" applyProtection="1">
      <alignment horizontal="center" wrapText="1"/>
      <protection/>
    </xf>
    <xf numFmtId="2" fontId="17" fillId="5" borderId="45" xfId="0" applyNumberFormat="1" applyFont="1" applyFill="1" applyBorder="1" applyAlignment="1" applyProtection="1">
      <alignment horizontal="center" wrapText="1"/>
      <protection/>
    </xf>
    <xf numFmtId="3" fontId="17" fillId="5" borderId="43" xfId="0" applyNumberFormat="1" applyFont="1" applyFill="1" applyBorder="1" applyAlignment="1" applyProtection="1">
      <alignment horizontal="center" wrapText="1"/>
      <protection/>
    </xf>
    <xf numFmtId="0" fontId="17" fillId="5" borderId="44" xfId="0" applyNumberFormat="1" applyFont="1" applyFill="1" applyBorder="1" applyAlignment="1" applyProtection="1">
      <alignment horizontal="center" wrapText="1"/>
      <protection/>
    </xf>
    <xf numFmtId="0" fontId="17" fillId="5" borderId="45" xfId="0" applyNumberFormat="1" applyFont="1" applyFill="1" applyBorder="1" applyAlignment="1" applyProtection="1">
      <alignment horizontal="center" wrapText="1"/>
      <protection/>
    </xf>
    <xf numFmtId="3" fontId="17" fillId="5" borderId="10" xfId="0" applyNumberFormat="1" applyFont="1" applyFill="1" applyBorder="1" applyAlignment="1" applyProtection="1">
      <alignment horizontal="center" wrapText="1"/>
      <protection/>
    </xf>
    <xf numFmtId="0" fontId="17" fillId="5" borderId="37" xfId="0" applyNumberFormat="1" applyFont="1" applyFill="1" applyBorder="1" applyAlignment="1" applyProtection="1">
      <alignment horizontal="center" wrapText="1"/>
      <protection/>
    </xf>
    <xf numFmtId="0" fontId="17" fillId="5" borderId="38" xfId="0" applyNumberFormat="1" applyFont="1" applyFill="1" applyBorder="1" applyAlignment="1" applyProtection="1">
      <alignment horizontal="center" wrapText="1"/>
      <protection/>
    </xf>
    <xf numFmtId="164" fontId="17" fillId="5" borderId="10" xfId="0" applyNumberFormat="1" applyFont="1" applyFill="1" applyBorder="1" applyAlignment="1" applyProtection="1">
      <alignment horizontal="center" wrapText="1"/>
      <protection/>
    </xf>
    <xf numFmtId="164" fontId="17" fillId="5" borderId="37" xfId="0" applyNumberFormat="1" applyFont="1" applyFill="1" applyBorder="1" applyAlignment="1" applyProtection="1">
      <alignment horizontal="center" wrapText="1"/>
      <protection/>
    </xf>
    <xf numFmtId="164" fontId="17" fillId="5" borderId="38" xfId="0" applyNumberFormat="1" applyFont="1" applyFill="1" applyBorder="1" applyAlignment="1" applyProtection="1">
      <alignment horizontal="center" wrapText="1"/>
      <protection/>
    </xf>
    <xf numFmtId="0" fontId="4" fillId="13" borderId="0" xfId="24" applyFill="1" applyBorder="1" applyAlignment="1">
      <alignment horizontal="center" vertical="center" wrapText="1"/>
    </xf>
    <xf numFmtId="0" fontId="4" fillId="13" borderId="9" xfId="24" applyFill="1" applyBorder="1" applyAlignment="1">
      <alignment horizontal="center" vertical="center" wrapText="1"/>
    </xf>
    <xf numFmtId="0" fontId="17" fillId="5" borderId="43" xfId="0" applyFont="1" applyFill="1" applyBorder="1" applyAlignment="1" applyProtection="1">
      <alignment horizontal="center" vertical="center" wrapText="1"/>
      <protection/>
    </xf>
    <xf numFmtId="0" fontId="17" fillId="5" borderId="44" xfId="0" applyFont="1" applyFill="1" applyBorder="1" applyAlignment="1" applyProtection="1">
      <alignment horizontal="center" vertical="center" wrapText="1"/>
      <protection/>
    </xf>
    <xf numFmtId="0" fontId="17" fillId="5" borderId="15" xfId="0" applyFont="1" applyFill="1" applyBorder="1" applyAlignment="1" applyProtection="1">
      <alignment horizontal="center" vertical="center" wrapText="1"/>
      <protection/>
    </xf>
    <xf numFmtId="0" fontId="17" fillId="5" borderId="39" xfId="0" applyFont="1" applyFill="1" applyBorder="1" applyAlignment="1" applyProtection="1">
      <alignment horizontal="center" vertical="center" wrapText="1"/>
      <protection/>
    </xf>
    <xf numFmtId="0" fontId="17" fillId="5" borderId="40" xfId="0" applyFont="1" applyFill="1" applyBorder="1" applyAlignment="1" applyProtection="1">
      <alignment horizontal="center" vertical="center" wrapText="1"/>
      <protection/>
    </xf>
    <xf numFmtId="14" fontId="17" fillId="5" borderId="10" xfId="0" applyNumberFormat="1" applyFont="1" applyFill="1" applyBorder="1" applyAlignment="1" applyProtection="1">
      <alignment horizontal="center" vertical="center" wrapText="1"/>
      <protection/>
    </xf>
    <xf numFmtId="0" fontId="17" fillId="5" borderId="37" xfId="0" applyFont="1" applyFill="1" applyBorder="1" applyAlignment="1" applyProtection="1">
      <alignment horizontal="center" vertical="center" wrapText="1"/>
      <protection/>
    </xf>
    <xf numFmtId="0" fontId="21" fillId="13" borderId="0" xfId="0" applyFont="1" applyFill="1" applyBorder="1" applyAlignment="1">
      <alignment horizontal="center" vertical="center" wrapText="1"/>
    </xf>
    <xf numFmtId="0" fontId="21" fillId="13" borderId="9" xfId="0" applyFont="1" applyFill="1" applyBorder="1" applyAlignment="1">
      <alignment horizontal="center" vertical="center" wrapText="1"/>
    </xf>
    <xf numFmtId="0" fontId="17" fillId="5" borderId="10" xfId="0" applyFont="1" applyFill="1" applyBorder="1" applyAlignment="1" applyProtection="1">
      <alignment horizontal="center" vertical="center" wrapText="1"/>
      <protection/>
    </xf>
    <xf numFmtId="0" fontId="17" fillId="5" borderId="38" xfId="0" applyFont="1" applyFill="1" applyBorder="1" applyAlignment="1" applyProtection="1">
      <alignment horizontal="center" vertical="center" wrapText="1"/>
      <protection/>
    </xf>
    <xf numFmtId="2" fontId="17" fillId="5" borderId="46" xfId="0" applyNumberFormat="1" applyFont="1" applyFill="1" applyBorder="1" applyAlignment="1" applyProtection="1">
      <alignment horizontal="center" wrapText="1"/>
      <protection/>
    </xf>
  </cellXfs>
  <cellStyles count="30">
    <cellStyle name="Normal" xfId="0"/>
    <cellStyle name="Percent" xfId="15"/>
    <cellStyle name="Currency" xfId="16"/>
    <cellStyle name="Currency [0]" xfId="17"/>
    <cellStyle name="Comma" xfId="18"/>
    <cellStyle name="Comma [0]" xfId="19"/>
    <cellStyle name="Title" xfId="20"/>
    <cellStyle name="Heading 1" xfId="21"/>
    <cellStyle name="Heading 2" xfId="22"/>
    <cellStyle name="Heading 3" xfId="23"/>
    <cellStyle name="Heading 4" xfId="24"/>
    <cellStyle name="Good" xfId="25"/>
    <cellStyle name="Bad" xfId="26"/>
    <cellStyle name="Neutral" xfId="27"/>
    <cellStyle name="Input" xfId="28"/>
    <cellStyle name="Output" xfId="29"/>
    <cellStyle name="Calculation" xfId="30"/>
    <cellStyle name="Linked Cell" xfId="31"/>
    <cellStyle name="Check Cell" xfId="32"/>
    <cellStyle name="Warning Text" xfId="33"/>
    <cellStyle name="Note" xfId="34"/>
    <cellStyle name="Explanatory Text" xfId="35"/>
    <cellStyle name="Hyperlink" xfId="36"/>
    <cellStyle name="Followed Hyperlink" xfId="37"/>
    <cellStyle name="Button 2" xfId="38"/>
    <cellStyle name="Button 4" xfId="39"/>
    <cellStyle name="Button 1" xfId="40"/>
    <cellStyle name="Button 3" xfId="41"/>
    <cellStyle name="Highlight" xfId="42"/>
    <cellStyle name="Normal 2" xfId="43"/>
  </cellStyles>
  <dxfs count="47">
    <dxf>
      <font>
        <color rgb="FF9C0006"/>
      </font>
      <fill>
        <patternFill>
          <bgColor rgb="FFFFC7CE"/>
        </patternFill>
      </fill>
      <border/>
    </dxf>
    <dxf>
      <font>
        <color rgb="FF9C0006"/>
      </font>
      <fill>
        <patternFill>
          <bgColor rgb="FFFFC7CE"/>
        </patternFill>
      </fill>
      <border/>
    </dxf>
    <dxf>
      <fill>
        <patternFill patternType="none"/>
      </fill>
      <border/>
    </dxf>
    <dxf>
      <fill>
        <patternFill patternType="none"/>
      </fill>
      <border/>
    </dxf>
    <dxf>
      <fill>
        <patternFill patternType="none"/>
      </fill>
      <border/>
    </dxf>
    <dxf>
      <font>
        <color rgb="FF9C0006"/>
      </font>
      <fill>
        <patternFill>
          <bgColor rgb="FFFFC7CE"/>
        </patternFill>
      </fill>
      <border/>
    </dxf>
    <dxf>
      <font>
        <color rgb="FF9C0006"/>
      </font>
      <fill>
        <patternFill>
          <bgColor rgb="FFFFC7CE"/>
        </patternFill>
      </fill>
      <border/>
    </dxf>
    <dxf>
      <fill>
        <patternFill patternType="none"/>
      </fill>
      <border/>
    </dxf>
    <dxf>
      <font>
        <color rgb="FF9C0006"/>
      </font>
      <fill>
        <patternFill>
          <bgColor rgb="FFFFC7CE"/>
        </patternFill>
      </fill>
      <border/>
    </dxf>
    <dxf>
      <fill>
        <patternFill patternType="none"/>
      </fill>
      <border/>
    </dxf>
    <dxf>
      <font>
        <color rgb="FF9C0006"/>
      </font>
      <fill>
        <patternFill>
          <bgColor rgb="FFFFC7CE"/>
        </patternFill>
      </fill>
      <border/>
    </dxf>
    <dxf>
      <fill>
        <patternFill patternType="none"/>
      </fill>
      <border/>
    </dxf>
    <dxf>
      <font>
        <color rgb="FF9C0006"/>
      </font>
      <fill>
        <patternFill>
          <bgColor rgb="FF00B0F0"/>
        </patternFill>
      </fill>
      <border/>
    </dxf>
    <dxf>
      <fill>
        <patternFill patternType="none"/>
      </fill>
      <border/>
    </dxf>
    <dxf>
      <font>
        <color rgb="FF9C0006"/>
      </font>
      <fill>
        <patternFill>
          <bgColor rgb="FF00B0F0"/>
        </patternFill>
      </fill>
      <border/>
    </dxf>
    <dxf>
      <font>
        <color rgb="FF9C0006"/>
      </font>
      <fill>
        <patternFill>
          <bgColor theme="0" tint="-0.3499799966812134"/>
        </patternFill>
      </fill>
      <border/>
    </dxf>
    <dxf>
      <font>
        <color rgb="FF9C0006"/>
      </font>
      <fill>
        <patternFill>
          <bgColor rgb="FFFFC000"/>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FF00"/>
        </patternFill>
      </fill>
      <border/>
    </dxf>
    <dxf>
      <font>
        <color rgb="FF9C0006"/>
      </font>
      <fill>
        <patternFill>
          <bgColor rgb="FFFFFF00"/>
        </patternFill>
      </fill>
      <border/>
    </dxf>
    <dxf>
      <font>
        <color rgb="FF9C0006"/>
      </font>
      <fill>
        <patternFill>
          <bgColor rgb="FFFFC7CE"/>
        </patternFill>
      </fill>
      <border/>
    </dxf>
    <dxf>
      <font>
        <color rgb="FF9C0006"/>
      </font>
      <fill>
        <patternFill>
          <bgColor rgb="FFFFC7CE"/>
        </patternFill>
      </fill>
      <border/>
    </dxf>
    <dxf>
      <fill>
        <patternFill>
          <bgColor rgb="FFFFFF00"/>
        </patternFill>
      </fill>
      <border/>
    </dxf>
    <dxf>
      <fill>
        <patternFill>
          <bgColor rgb="FFFFFF00"/>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s>
  <tableStyles count="0" defaultTableStyle="TableStyleLight16"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styles" Target="styles.xml" /><Relationship Id="rId52" Type="http://schemas.openxmlformats.org/officeDocument/2006/relationships/sharedStrings" Target="sharedStrings.xml" /><Relationship Id="rId53" Type="http://schemas.openxmlformats.org/officeDocument/2006/relationships/externalLink" Target="externalLinks/externalLink1.xml" /><Relationship Id="rId54" Type="http://schemas.openxmlformats.org/officeDocument/2006/relationships/externalLink" Target="externalLinks/externalLink2.xml" /><Relationship Id="rId5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tx>
            <c:strRef>
              <c:f>'Majors - UG'!$C$9</c:f>
              <c:strCache>
                <c:ptCount val="1"/>
                <c:pt idx="0">
                  <c:v>Mechanical Engineering</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UG'!$D$9:$H$9</c:f>
              <c:numCache/>
            </c:numRef>
          </c:val>
          <c:smooth val="0"/>
        </c:ser>
        <c:ser>
          <c:idx val="1"/>
          <c:order val="1"/>
          <c:tx>
            <c:strRef>
              <c:f>'Majors - UG'!$C$10</c:f>
              <c:strCache>
                <c:ptCount val="1"/>
                <c:pt idx="0">
                  <c:v>Management</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UG'!$D$10:$H$10</c:f>
              <c:numCache/>
            </c:numRef>
          </c:val>
          <c:smooth val="0"/>
        </c:ser>
        <c:ser>
          <c:idx val="2"/>
          <c:order val="2"/>
          <c:tx>
            <c:strRef>
              <c:f>'Majors - UG'!$C$11</c:f>
              <c:strCache>
                <c:ptCount val="1"/>
                <c:pt idx="0">
                  <c:v>Biology</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UG'!$D$11:$H$11</c:f>
              <c:numCache/>
            </c:numRef>
          </c:val>
          <c:smooth val="0"/>
        </c:ser>
        <c:ser>
          <c:idx val="3"/>
          <c:order val="3"/>
          <c:tx>
            <c:strRef>
              <c:f>'Majors - UG'!$C$12</c:f>
              <c:strCache>
                <c:ptCount val="1"/>
                <c:pt idx="0">
                  <c:v>Exercise Science</c:v>
                </c:pt>
              </c:strCache>
            </c:strRef>
          </c:tx>
          <c:spPr>
            <a:ln w="28575"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UG'!$D$12:$H$12</c:f>
              <c:numCache/>
            </c:numRef>
          </c:val>
          <c:smooth val="0"/>
        </c:ser>
        <c:ser>
          <c:idx val="4"/>
          <c:order val="4"/>
          <c:tx>
            <c:strRef>
              <c:f>'Majors - UG'!$C$13</c:f>
              <c:strCache>
                <c:ptCount val="1"/>
                <c:pt idx="0">
                  <c:v>Professional Accounting</c:v>
                </c:pt>
              </c:strCache>
            </c:strRef>
          </c:tx>
          <c:spPr>
            <a:ln w="28575"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UG'!$D$13:$H$13</c:f>
              <c:numCache/>
            </c:numRef>
          </c:val>
          <c:smooth val="0"/>
        </c:ser>
        <c:ser>
          <c:idx val="5"/>
          <c:order val="5"/>
          <c:tx>
            <c:strRef>
              <c:f>'Majors - UG'!$C$14</c:f>
              <c:strCache>
                <c:ptCount val="1"/>
                <c:pt idx="0">
                  <c:v>Computer Science</c:v>
                </c:pt>
              </c:strCache>
            </c:strRef>
          </c:tx>
          <c:spPr>
            <a:ln w="28575" cap="rnd">
              <a:solidFill>
                <a:schemeClr val="accent6"/>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UG'!$D$14:$H$14</c:f>
              <c:numCache/>
            </c:numRef>
          </c:val>
          <c:smooth val="0"/>
        </c:ser>
        <c:ser>
          <c:idx val="6"/>
          <c:order val="6"/>
          <c:tx>
            <c:strRef>
              <c:f>'Majors - UG'!$C$15</c:f>
              <c:strCache>
                <c:ptCount val="1"/>
                <c:pt idx="0">
                  <c:v>Psychology</c:v>
                </c:pt>
              </c:strCache>
            </c:strRef>
          </c:tx>
          <c:spPr>
            <a:ln w="28575" cap="rnd">
              <a:solidFill>
                <a:schemeClr val="accent1">
                  <a:lumMod val="6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UG'!$D$15:$H$15</c:f>
              <c:numCache/>
            </c:numRef>
          </c:val>
          <c:smooth val="0"/>
        </c:ser>
        <c:ser>
          <c:idx val="7"/>
          <c:order val="7"/>
          <c:tx>
            <c:strRef>
              <c:f>'Majors - UG'!$C$16</c:f>
              <c:strCache>
                <c:ptCount val="1"/>
                <c:pt idx="0">
                  <c:v>Nursing</c:v>
                </c:pt>
              </c:strCache>
            </c:strRef>
          </c:tx>
          <c:spPr>
            <a:ln w="28575" cap="rnd">
              <a:solidFill>
                <a:schemeClr val="accent2">
                  <a:lumMod val="6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UG'!$D$16:$H$16</c:f>
              <c:numCache/>
            </c:numRef>
          </c:val>
          <c:smooth val="0"/>
        </c:ser>
        <c:ser>
          <c:idx val="8"/>
          <c:order val="8"/>
          <c:tx>
            <c:strRef>
              <c:f>'Majors - UG'!$C$17</c:f>
              <c:strCache>
                <c:ptCount val="1"/>
                <c:pt idx="0">
                  <c:v>Communication Studies</c:v>
                </c:pt>
              </c:strCache>
            </c:strRef>
          </c:tx>
          <c:spPr>
            <a:ln w="28575" cap="rnd">
              <a:solidFill>
                <a:schemeClr val="accent3">
                  <a:lumMod val="6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UG'!$D$17:$H$17</c:f>
              <c:numCache/>
            </c:numRef>
          </c:val>
          <c:smooth val="0"/>
        </c:ser>
        <c:ser>
          <c:idx val="9"/>
          <c:order val="9"/>
          <c:tx>
            <c:strRef>
              <c:f>'Majors - UG'!$C$18</c:f>
              <c:strCache>
                <c:ptCount val="1"/>
                <c:pt idx="0">
                  <c:v>Marketing</c:v>
                </c:pt>
              </c:strCache>
            </c:strRef>
          </c:tx>
          <c:spPr>
            <a:ln w="28575" cap="rnd">
              <a:solidFill>
                <a:schemeClr val="accent4">
                  <a:lumMod val="6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UG'!$D$18:$H$18</c:f>
              <c:numCache/>
            </c:numRef>
          </c:val>
          <c:smooth val="0"/>
        </c:ser>
        <c:ser>
          <c:idx val="10"/>
          <c:order val="10"/>
          <c:tx>
            <c:strRef>
              <c:f>'Majors - UG'!$C$19</c:f>
              <c:strCache>
                <c:ptCount val="1"/>
                <c:pt idx="0">
                  <c:v>Criminal Justice</c:v>
                </c:pt>
              </c:strCache>
            </c:strRef>
          </c:tx>
          <c:spPr>
            <a:ln w="28575" cap="rnd">
              <a:solidFill>
                <a:schemeClr val="accent5">
                  <a:lumMod val="6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UG'!$D$19:$H$19</c:f>
              <c:numCache/>
            </c:numRef>
          </c:val>
          <c:smooth val="0"/>
        </c:ser>
        <c:ser>
          <c:idx val="11"/>
          <c:order val="11"/>
          <c:tx>
            <c:strRef>
              <c:f>'Majors - UG'!$C$20</c:f>
              <c:strCache>
                <c:ptCount val="1"/>
                <c:pt idx="0">
                  <c:v>Applied Developmental Psych</c:v>
                </c:pt>
              </c:strCache>
            </c:strRef>
          </c:tx>
          <c:spPr>
            <a:ln w="28575" cap="rnd">
              <a:solidFill>
                <a:schemeClr val="accent6">
                  <a:lumMod val="6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UG'!$D$20:$H$20</c:f>
              <c:numCache/>
            </c:numRef>
          </c:val>
          <c:smooth val="0"/>
        </c:ser>
        <c:ser>
          <c:idx val="12"/>
          <c:order val="12"/>
          <c:tx>
            <c:strRef>
              <c:f>'Majors - UG'!$C$21</c:f>
              <c:strCache>
                <c:ptCount val="1"/>
                <c:pt idx="0">
                  <c:v>Dental Hygiene</c:v>
                </c:pt>
              </c:strCache>
            </c:strRef>
          </c:tx>
          <c:spPr>
            <a:ln w="28575" cap="rnd">
              <a:solidFill>
                <a:schemeClr val="accent1">
                  <a:lumMod val="80000"/>
                  <a:lumOff val="2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UG'!$D$21:$H$21</c:f>
              <c:numCache/>
            </c:numRef>
          </c:val>
          <c:smooth val="0"/>
        </c:ser>
        <c:ser>
          <c:idx val="13"/>
          <c:order val="13"/>
          <c:tx>
            <c:strRef>
              <c:f>'Majors - UG'!$C$22</c:f>
              <c:strCache>
                <c:ptCount val="1"/>
                <c:pt idx="0">
                  <c:v>Finance</c:v>
                </c:pt>
              </c:strCache>
            </c:strRef>
          </c:tx>
          <c:spPr>
            <a:ln w="28575" cap="rnd">
              <a:solidFill>
                <a:schemeClr val="accent2">
                  <a:lumMod val="80000"/>
                  <a:lumOff val="2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UG'!$D$22:$H$22</c:f>
              <c:numCache/>
            </c:numRef>
          </c:val>
          <c:smooth val="0"/>
        </c:ser>
        <c:ser>
          <c:idx val="14"/>
          <c:order val="14"/>
          <c:tx>
            <c:strRef>
              <c:f>'Majors - UG'!$C$23</c:f>
              <c:strCache>
                <c:ptCount val="1"/>
                <c:pt idx="0">
                  <c:v>Design</c:v>
                </c:pt>
              </c:strCache>
            </c:strRef>
          </c:tx>
          <c:spPr>
            <a:ln w="28575" cap="rnd">
              <a:solidFill>
                <a:schemeClr val="accent3">
                  <a:lumMod val="80000"/>
                  <a:lumOff val="2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UG'!$D$23:$H$23</c:f>
              <c:numCache/>
            </c:numRef>
          </c:val>
          <c:smooth val="0"/>
        </c:ser>
        <c:ser>
          <c:idx val="15"/>
          <c:order val="15"/>
          <c:tx>
            <c:strRef>
              <c:f>'Majors - UG'!$C$24</c:f>
              <c:strCache>
                <c:ptCount val="1"/>
                <c:pt idx="0">
                  <c:v>Social Work</c:v>
                </c:pt>
              </c:strCache>
            </c:strRef>
          </c:tx>
          <c:spPr>
            <a:ln w="28575" cap="rnd">
              <a:solidFill>
                <a:schemeClr val="accent4">
                  <a:lumMod val="80000"/>
                  <a:lumOff val="2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UG'!$D$24:$H$24</c:f>
              <c:numCache/>
            </c:numRef>
          </c:val>
          <c:smooth val="0"/>
        </c:ser>
        <c:ser>
          <c:idx val="16"/>
          <c:order val="16"/>
          <c:tx>
            <c:strRef>
              <c:f>'Majors - UG'!$C$25</c:f>
              <c:strCache>
                <c:ptCount val="1"/>
                <c:pt idx="0">
                  <c:v>Elementary Education</c:v>
                </c:pt>
              </c:strCache>
            </c:strRef>
          </c:tx>
          <c:spPr>
            <a:ln w="28575" cap="rnd">
              <a:solidFill>
                <a:schemeClr val="accent5">
                  <a:lumMod val="80000"/>
                  <a:lumOff val="2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UG'!$D$25:$H$25</c:f>
              <c:numCache/>
            </c:numRef>
          </c:val>
          <c:smooth val="0"/>
        </c:ser>
        <c:ser>
          <c:idx val="17"/>
          <c:order val="17"/>
          <c:tx>
            <c:strRef>
              <c:f>'Majors - UG'!$C$26</c:f>
              <c:strCache>
                <c:ptCount val="1"/>
                <c:pt idx="0">
                  <c:v>Computer Science</c:v>
                </c:pt>
              </c:strCache>
            </c:strRef>
          </c:tx>
          <c:spPr>
            <a:ln w="28575" cap="rnd">
              <a:solidFill>
                <a:schemeClr val="accent6">
                  <a:lumMod val="80000"/>
                  <a:lumOff val="2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UG'!$D$26:$H$26</c:f>
              <c:numCache/>
            </c:numRef>
          </c:val>
          <c:smooth val="0"/>
        </c:ser>
        <c:ser>
          <c:idx val="18"/>
          <c:order val="18"/>
          <c:tx>
            <c:strRef>
              <c:f>'Majors - UG'!$C$27</c:f>
              <c:strCache>
                <c:ptCount val="1"/>
                <c:pt idx="0">
                  <c:v>Electrical Engineering</c:v>
                </c:pt>
              </c:strCache>
            </c:strRef>
          </c:tx>
          <c:spPr>
            <a:ln w="28575" cap="rnd">
              <a:solidFill>
                <a:schemeClr val="accent1">
                  <a:lumMod val="8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UG'!$D$27:$H$27</c:f>
              <c:numCache/>
            </c:numRef>
          </c:val>
          <c:smooth val="0"/>
        </c:ser>
        <c:ser>
          <c:idx val="19"/>
          <c:order val="19"/>
          <c:tx>
            <c:strRef>
              <c:f>'Majors - UG'!$C$28</c:f>
              <c:strCache>
                <c:ptCount val="1"/>
                <c:pt idx="0">
                  <c:v>Interdisciplinary Studies</c:v>
                </c:pt>
              </c:strCache>
            </c:strRef>
          </c:tx>
          <c:spPr>
            <a:ln w="28575" cap="rnd">
              <a:solidFill>
                <a:schemeClr val="accent2">
                  <a:lumMod val="8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UG'!$D$28:$H$28</c:f>
              <c:numCache/>
            </c:numRef>
          </c:val>
          <c:smooth val="0"/>
        </c:ser>
        <c:ser>
          <c:idx val="20"/>
          <c:order val="20"/>
          <c:tx>
            <c:strRef>
              <c:f>'Majors - UG'!$C$29</c:f>
              <c:strCache>
                <c:ptCount val="1"/>
                <c:pt idx="0">
                  <c:v>Children's Studies</c:v>
                </c:pt>
              </c:strCache>
            </c:strRef>
          </c:tx>
          <c:spPr>
            <a:ln w="28575" cap="rnd">
              <a:solidFill>
                <a:schemeClr val="accent3">
                  <a:lumMod val="8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UG'!$D$29:$H$29</c:f>
              <c:numCache/>
            </c:numRef>
          </c:val>
          <c:smooth val="0"/>
        </c:ser>
        <c:ser>
          <c:idx val="21"/>
          <c:order val="21"/>
          <c:tx>
            <c:strRef>
              <c:f>'Majors - UG'!$C$30</c:f>
              <c:strCache>
                <c:ptCount val="1"/>
                <c:pt idx="0">
                  <c:v>Interdisciplinary Liberal Arts</c:v>
                </c:pt>
              </c:strCache>
            </c:strRef>
          </c:tx>
          <c:spPr>
            <a:ln w="28575" cap="rnd">
              <a:solidFill>
                <a:schemeClr val="accent4">
                  <a:lumMod val="8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UG'!$D$30:$H$30</c:f>
              <c:numCache/>
            </c:numRef>
          </c:val>
          <c:smooth val="0"/>
        </c:ser>
        <c:ser>
          <c:idx val="22"/>
          <c:order val="22"/>
          <c:tx>
            <c:strRef>
              <c:f>'Majors - UG'!$C$31</c:f>
              <c:strCache>
                <c:ptCount val="1"/>
                <c:pt idx="0">
                  <c:v>Comm Sciences &amp; Disorders</c:v>
                </c:pt>
              </c:strCache>
            </c:strRef>
          </c:tx>
          <c:spPr>
            <a:ln w="28575" cap="rnd">
              <a:solidFill>
                <a:schemeClr val="accent5">
                  <a:lumMod val="8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UG'!$D$31:$H$31</c:f>
              <c:numCache/>
            </c:numRef>
          </c:val>
          <c:smooth val="0"/>
        </c:ser>
        <c:ser>
          <c:idx val="23"/>
          <c:order val="23"/>
          <c:tx>
            <c:strRef>
              <c:f>'Majors - UG'!$C$32</c:f>
              <c:strCache>
                <c:ptCount val="1"/>
                <c:pt idx="0">
                  <c:v>Mathematics Education</c:v>
                </c:pt>
              </c:strCache>
            </c:strRef>
          </c:tx>
          <c:spPr>
            <a:ln w="28575" cap="rnd">
              <a:solidFill>
                <a:schemeClr val="accent6">
                  <a:lumMod val="8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UG'!$D$32:$H$32</c:f>
              <c:numCache/>
            </c:numRef>
          </c:val>
          <c:smooth val="0"/>
        </c:ser>
        <c:ser>
          <c:idx val="24"/>
          <c:order val="24"/>
          <c:tx>
            <c:strRef>
              <c:f>'Majors - UG'!$C$33</c:f>
              <c:strCache>
                <c:ptCount val="1"/>
                <c:pt idx="0">
                  <c:v>Management Information Systems</c:v>
                </c:pt>
              </c:strCache>
            </c:strRef>
          </c:tx>
          <c:spPr>
            <a:ln w="28575" cap="rnd">
              <a:solidFill>
                <a:schemeClr val="accent1">
                  <a:lumMod val="60000"/>
                  <a:lumOff val="4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UG'!$D$33:$H$33</c:f>
              <c:numCache/>
            </c:numRef>
          </c:val>
          <c:smooth val="0"/>
        </c:ser>
        <c:ser>
          <c:idx val="25"/>
          <c:order val="25"/>
          <c:tx>
            <c:strRef>
              <c:f>'Majors - UG'!$C$34</c:f>
              <c:strCache>
                <c:ptCount val="1"/>
                <c:pt idx="0">
                  <c:v>English Education</c:v>
                </c:pt>
              </c:strCache>
            </c:strRef>
          </c:tx>
          <c:spPr>
            <a:ln w="28575" cap="rnd">
              <a:solidFill>
                <a:schemeClr val="accent2">
                  <a:lumMod val="60000"/>
                  <a:lumOff val="4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UG'!$D$34:$H$34</c:f>
              <c:numCache/>
            </c:numRef>
          </c:val>
          <c:smooth val="0"/>
        </c:ser>
        <c:ser>
          <c:idx val="26"/>
          <c:order val="26"/>
          <c:tx>
            <c:strRef>
              <c:f>'Majors - UG'!$C$35</c:f>
              <c:strCache>
                <c:ptCount val="1"/>
                <c:pt idx="0">
                  <c:v>Mechanical Engineering Tech</c:v>
                </c:pt>
              </c:strCache>
            </c:strRef>
          </c:tx>
          <c:spPr>
            <a:ln w="28575" cap="rnd">
              <a:solidFill>
                <a:schemeClr val="accent3">
                  <a:lumMod val="60000"/>
                  <a:lumOff val="4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UG'!$D$35:$H$35</c:f>
              <c:numCache/>
            </c:numRef>
          </c:val>
          <c:smooth val="0"/>
        </c:ser>
        <c:ser>
          <c:idx val="27"/>
          <c:order val="27"/>
          <c:tx>
            <c:strRef>
              <c:f>'Majors - UG'!$C$36</c:f>
              <c:strCache>
                <c:ptCount val="1"/>
                <c:pt idx="0">
                  <c:v>Chemistry/Biochemistry</c:v>
                </c:pt>
              </c:strCache>
            </c:strRef>
          </c:tx>
          <c:spPr>
            <a:ln w="28575" cap="rnd">
              <a:solidFill>
                <a:schemeClr val="accent4">
                  <a:lumMod val="60000"/>
                  <a:lumOff val="4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UG'!$D$36:$H$36</c:f>
              <c:numCache/>
            </c:numRef>
          </c:val>
          <c:smooth val="0"/>
        </c:ser>
        <c:ser>
          <c:idx val="28"/>
          <c:order val="28"/>
          <c:tx>
            <c:strRef>
              <c:f>'Majors - UG'!$C$37</c:f>
              <c:strCache>
                <c:ptCount val="1"/>
                <c:pt idx="0">
                  <c:v>Early Childhood Education</c:v>
                </c:pt>
              </c:strCache>
            </c:strRef>
          </c:tx>
          <c:spPr>
            <a:ln w="28575" cap="rnd">
              <a:solidFill>
                <a:schemeClr val="accent5">
                  <a:lumMod val="60000"/>
                  <a:lumOff val="4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UG'!$D$37:$H$37</c:f>
              <c:numCache/>
            </c:numRef>
          </c:val>
          <c:smooth val="0"/>
        </c:ser>
        <c:ser>
          <c:idx val="29"/>
          <c:order val="29"/>
          <c:tx>
            <c:strRef>
              <c:f>'Majors - UG'!$C$38</c:f>
              <c:strCache>
                <c:ptCount val="1"/>
                <c:pt idx="0">
                  <c:v>Construction Mgmt Tech</c:v>
                </c:pt>
              </c:strCache>
            </c:strRef>
          </c:tx>
          <c:spPr>
            <a:ln w="28575" cap="rnd">
              <a:solidFill>
                <a:schemeClr val="accent6">
                  <a:lumMod val="60000"/>
                  <a:lumOff val="4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UG'!$D$38:$H$38</c:f>
              <c:numCache/>
            </c:numRef>
          </c:val>
          <c:smooth val="0"/>
        </c:ser>
        <c:ser>
          <c:idx val="30"/>
          <c:order val="30"/>
          <c:tx>
            <c:strRef>
              <c:f>'Majors - UG'!$C$39</c:f>
              <c:strCache>
                <c:ptCount val="1"/>
                <c:pt idx="0">
                  <c:v>Social Studies Education</c:v>
                </c:pt>
              </c:strCache>
            </c:strRef>
          </c:tx>
          <c:spPr>
            <a:ln w="28575" cap="rnd">
              <a:solidFill>
                <a:schemeClr val="accent1">
                  <a:lumMod val="5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UG'!$D$39:$H$39</c:f>
              <c:numCache/>
            </c:numRef>
          </c:val>
          <c:smooth val="0"/>
        </c:ser>
        <c:ser>
          <c:idx val="31"/>
          <c:order val="31"/>
          <c:tx>
            <c:strRef>
              <c:f>'Majors - UG'!$C$40</c:f>
              <c:strCache>
                <c:ptCount val="1"/>
                <c:pt idx="0">
                  <c:v>Health and Fitness</c:v>
                </c:pt>
              </c:strCache>
            </c:strRef>
          </c:tx>
          <c:spPr>
            <a:ln w="28575" cap="rnd">
              <a:solidFill>
                <a:schemeClr val="accent2">
                  <a:lumMod val="5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UG'!$D$40:$H$40</c:f>
              <c:numCache/>
            </c:numRef>
          </c:val>
          <c:smooth val="0"/>
        </c:ser>
        <c:ser>
          <c:idx val="32"/>
          <c:order val="32"/>
          <c:tx>
            <c:strRef>
              <c:f>'Majors - UG'!$C$41</c:f>
              <c:strCache>
                <c:ptCount val="1"/>
                <c:pt idx="0">
                  <c:v>Literacy, Reading &amp; Writing</c:v>
                </c:pt>
              </c:strCache>
            </c:strRef>
          </c:tx>
          <c:spPr>
            <a:ln w="28575" cap="rnd">
              <a:solidFill>
                <a:schemeClr val="accent3">
                  <a:lumMod val="5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UG'!$D$41:$H$41</c:f>
              <c:numCache/>
            </c:numRef>
          </c:val>
          <c:smooth val="0"/>
        </c:ser>
        <c:ser>
          <c:idx val="33"/>
          <c:order val="33"/>
          <c:tx>
            <c:strRef>
              <c:f>'Majors - UG'!$C$42</c:f>
              <c:strCache>
                <c:ptCount val="1"/>
                <c:pt idx="0">
                  <c:v>English</c:v>
                </c:pt>
              </c:strCache>
            </c:strRef>
          </c:tx>
          <c:spPr>
            <a:ln w="28575" cap="rnd">
              <a:solidFill>
                <a:schemeClr val="accent4">
                  <a:lumMod val="5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UG'!$D$42:$H$42</c:f>
              <c:numCache/>
            </c:numRef>
          </c:val>
          <c:smooth val="0"/>
        </c:ser>
        <c:ser>
          <c:idx val="34"/>
          <c:order val="34"/>
          <c:tx>
            <c:strRef>
              <c:f>'Majors - UG'!$C$43</c:f>
              <c:strCache>
                <c:ptCount val="1"/>
                <c:pt idx="0">
                  <c:v>Manufacturing Technology</c:v>
                </c:pt>
              </c:strCache>
            </c:strRef>
          </c:tx>
          <c:spPr>
            <a:ln w="28575" cap="rnd">
              <a:solidFill>
                <a:schemeClr val="accent5">
                  <a:lumMod val="5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UG'!$D$43:$H$43</c:f>
              <c:numCache/>
            </c:numRef>
          </c:val>
          <c:smooth val="0"/>
        </c:ser>
        <c:ser>
          <c:idx val="35"/>
          <c:order val="35"/>
          <c:tx>
            <c:strRef>
              <c:f>'Majors - UG'!$C$44</c:f>
              <c:strCache>
                <c:ptCount val="1"/>
                <c:pt idx="0">
                  <c:v>Health Services Administration</c:v>
                </c:pt>
              </c:strCache>
            </c:strRef>
          </c:tx>
          <c:spPr>
            <a:ln w="28575" cap="rnd">
              <a:solidFill>
                <a:schemeClr val="accent6">
                  <a:lumMod val="5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UG'!$D$44:$H$44</c:f>
              <c:numCache/>
            </c:numRef>
          </c:val>
          <c:smooth val="0"/>
        </c:ser>
        <c:ser>
          <c:idx val="36"/>
          <c:order val="36"/>
          <c:tx>
            <c:strRef>
              <c:f>'Majors - UG'!$C$45</c:f>
              <c:strCache>
                <c:ptCount val="1"/>
                <c:pt idx="0">
                  <c:v>Environmental Science</c:v>
                </c:pt>
              </c:strCache>
            </c:strRef>
          </c:tx>
          <c:spPr>
            <a:ln w="28575" cap="rnd">
              <a:solidFill>
                <a:schemeClr val="accent1">
                  <a:lumMod val="70000"/>
                  <a:lumOff val="3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UG'!$D$45:$H$45</c:f>
              <c:numCache/>
            </c:numRef>
          </c:val>
          <c:smooth val="0"/>
        </c:ser>
        <c:ser>
          <c:idx val="37"/>
          <c:order val="37"/>
          <c:tx>
            <c:strRef>
              <c:f>'Majors - UG'!$C$46</c:f>
              <c:strCache>
                <c:ptCount val="1"/>
                <c:pt idx="0">
                  <c:v>Sociology</c:v>
                </c:pt>
              </c:strCache>
            </c:strRef>
          </c:tx>
          <c:spPr>
            <a:ln w="28575" cap="rnd">
              <a:solidFill>
                <a:schemeClr val="accent2">
                  <a:lumMod val="70000"/>
                  <a:lumOff val="3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UG'!$D$46:$H$46</c:f>
              <c:numCache/>
            </c:numRef>
          </c:val>
          <c:smooth val="0"/>
        </c:ser>
        <c:ser>
          <c:idx val="38"/>
          <c:order val="38"/>
          <c:tx>
            <c:strRef>
              <c:f>'Majors - UG'!$C$47</c:f>
              <c:strCache>
                <c:ptCount val="1"/>
                <c:pt idx="0">
                  <c:v>Film</c:v>
                </c:pt>
              </c:strCache>
            </c:strRef>
          </c:tx>
          <c:spPr>
            <a:ln w="28575" cap="rnd">
              <a:solidFill>
                <a:schemeClr val="accent3">
                  <a:lumMod val="70000"/>
                  <a:lumOff val="3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UG'!$D$47:$H$47</c:f>
              <c:numCache/>
            </c:numRef>
          </c:val>
          <c:smooth val="0"/>
        </c:ser>
        <c:ser>
          <c:idx val="39"/>
          <c:order val="39"/>
          <c:tx>
            <c:strRef>
              <c:f>'Majors - UG'!$C$48</c:f>
              <c:strCache>
                <c:ptCount val="1"/>
                <c:pt idx="0">
                  <c:v>Technology</c:v>
                </c:pt>
              </c:strCache>
            </c:strRef>
          </c:tx>
          <c:spPr>
            <a:ln w="28575" cap="rnd">
              <a:solidFill>
                <a:schemeClr val="accent4">
                  <a:lumMod val="70000"/>
                  <a:lumOff val="3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UG'!$D$48:$H$48</c:f>
              <c:numCache/>
            </c:numRef>
          </c:val>
          <c:smooth val="0"/>
        </c:ser>
        <c:ser>
          <c:idx val="40"/>
          <c:order val="40"/>
          <c:tx>
            <c:strRef>
              <c:f>'Majors - UG'!$C$49</c:f>
              <c:strCache>
                <c:ptCount val="1"/>
                <c:pt idx="0">
                  <c:v>Political Science</c:v>
                </c:pt>
              </c:strCache>
            </c:strRef>
          </c:tx>
          <c:spPr>
            <a:ln w="28575" cap="rnd">
              <a:solidFill>
                <a:schemeClr val="accent5">
                  <a:lumMod val="70000"/>
                  <a:lumOff val="3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UG'!$D$49:$H$49</c:f>
              <c:numCache/>
            </c:numRef>
          </c:val>
          <c:smooth val="0"/>
        </c:ser>
        <c:ser>
          <c:idx val="41"/>
          <c:order val="41"/>
          <c:tx>
            <c:strRef>
              <c:f>'Majors - UG'!$C$50</c:f>
              <c:strCache>
                <c:ptCount val="1"/>
                <c:pt idx="0">
                  <c:v>Mathematics</c:v>
                </c:pt>
              </c:strCache>
            </c:strRef>
          </c:tx>
          <c:spPr>
            <a:ln w="28575" cap="rnd">
              <a:solidFill>
                <a:schemeClr val="accent6">
                  <a:lumMod val="70000"/>
                  <a:lumOff val="3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UG'!$D$50:$H$50</c:f>
              <c:numCache/>
            </c:numRef>
          </c:val>
          <c:smooth val="0"/>
        </c:ser>
        <c:ser>
          <c:idx val="42"/>
          <c:order val="42"/>
          <c:tx>
            <c:strRef>
              <c:f>'Majors - UG'!$C$51</c:f>
              <c:strCache>
                <c:ptCount val="1"/>
                <c:pt idx="0">
                  <c:v>Music: Instrument, Choral, Gen</c:v>
                </c:pt>
              </c:strCache>
            </c:strRef>
          </c:tx>
          <c:spPr>
            <a:ln w="28575" cap="rnd">
              <a:solidFill>
                <a:schemeClr val="accent1">
                  <a:lumMod val="7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UG'!$D$51:$H$51</c:f>
              <c:numCache/>
            </c:numRef>
          </c:val>
          <c:smooth val="0"/>
        </c:ser>
        <c:ser>
          <c:idx val="43"/>
          <c:order val="43"/>
          <c:tx>
            <c:strRef>
              <c:f>'Majors - UG'!$C$52</c:f>
              <c:strCache>
                <c:ptCount val="1"/>
                <c:pt idx="0">
                  <c:v>Data Analytics</c:v>
                </c:pt>
              </c:strCache>
            </c:strRef>
          </c:tx>
          <c:spPr>
            <a:ln w="28575" cap="rnd">
              <a:solidFill>
                <a:schemeClr val="accent2">
                  <a:lumMod val="7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UG'!$D$52:$H$52</c:f>
              <c:numCache/>
            </c:numRef>
          </c:val>
          <c:smooth val="0"/>
        </c:ser>
        <c:ser>
          <c:idx val="44"/>
          <c:order val="44"/>
          <c:tx>
            <c:strRef>
              <c:f>'Majors - UG'!$C$53</c:f>
              <c:strCache>
                <c:ptCount val="1"/>
                <c:pt idx="0">
                  <c:v>Entrepreneurship</c:v>
                </c:pt>
              </c:strCache>
            </c:strRef>
          </c:tx>
          <c:spPr>
            <a:ln w="28575" cap="rnd">
              <a:solidFill>
                <a:schemeClr val="accent3">
                  <a:lumMod val="7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UG'!$D$53:$H$53</c:f>
              <c:numCache/>
            </c:numRef>
          </c:val>
          <c:smooth val="0"/>
        </c:ser>
        <c:ser>
          <c:idx val="45"/>
          <c:order val="45"/>
          <c:tx>
            <c:strRef>
              <c:f>'Majors - UG'!$C$54</c:f>
              <c:strCache>
                <c:ptCount val="1"/>
                <c:pt idx="0">
                  <c:v>Spanish</c:v>
                </c:pt>
              </c:strCache>
            </c:strRef>
          </c:tx>
          <c:spPr>
            <a:ln w="28575" cap="rnd">
              <a:solidFill>
                <a:schemeClr val="accent4">
                  <a:lumMod val="7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UG'!$D$54:$H$54</c:f>
              <c:numCache/>
            </c:numRef>
          </c:val>
          <c:smooth val="0"/>
        </c:ser>
        <c:ser>
          <c:idx val="46"/>
          <c:order val="46"/>
          <c:tx>
            <c:strRef>
              <c:f>'Majors - UG'!$C$55</c:f>
              <c:strCache>
                <c:ptCount val="1"/>
                <c:pt idx="0">
                  <c:v>Studio Art</c:v>
                </c:pt>
              </c:strCache>
            </c:strRef>
          </c:tx>
          <c:spPr>
            <a:ln w="28575" cap="rnd">
              <a:solidFill>
                <a:schemeClr val="accent5">
                  <a:lumMod val="7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UG'!$D$55:$H$55</c:f>
              <c:numCache/>
            </c:numRef>
          </c:val>
          <c:smooth val="0"/>
        </c:ser>
        <c:ser>
          <c:idx val="47"/>
          <c:order val="47"/>
          <c:tx>
            <c:strRef>
              <c:f>'Majors - UG'!$C$56</c:f>
              <c:strCache>
                <c:ptCount val="1"/>
                <c:pt idx="0">
                  <c:v>Addiction Studies</c:v>
                </c:pt>
              </c:strCache>
            </c:strRef>
          </c:tx>
          <c:spPr>
            <a:ln w="28575" cap="rnd">
              <a:solidFill>
                <a:schemeClr val="accent6">
                  <a:lumMod val="7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UG'!$D$56:$H$56</c:f>
              <c:numCache/>
            </c:numRef>
          </c:val>
          <c:smooth val="0"/>
        </c:ser>
        <c:ser>
          <c:idx val="48"/>
          <c:order val="48"/>
          <c:tx>
            <c:strRef>
              <c:f>'Majors - UG'!$C$57</c:f>
              <c:strCache>
                <c:ptCount val="1"/>
                <c:pt idx="0">
                  <c:v>Music</c:v>
                </c:pt>
              </c:strCache>
            </c:strRef>
          </c:tx>
          <c:spPr>
            <a:ln w="28575" cap="rnd">
              <a:solidFill>
                <a:schemeClr val="accent1">
                  <a:lumMod val="50000"/>
                  <a:lumOff val="5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UG'!$D$57:$H$57</c:f>
              <c:numCache/>
            </c:numRef>
          </c:val>
          <c:smooth val="0"/>
        </c:ser>
        <c:ser>
          <c:idx val="49"/>
          <c:order val="49"/>
          <c:tx>
            <c:strRef>
              <c:f>'Majors - UG'!$C$58</c:f>
              <c:strCache>
                <c:ptCount val="1"/>
                <c:pt idx="0">
                  <c:v>History</c:v>
                </c:pt>
              </c:strCache>
            </c:strRef>
          </c:tx>
          <c:spPr>
            <a:ln w="28575" cap="rnd">
              <a:solidFill>
                <a:schemeClr val="accent2">
                  <a:lumMod val="50000"/>
                  <a:lumOff val="5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UG'!$D$58:$H$58</c:f>
              <c:numCache/>
            </c:numRef>
          </c:val>
          <c:smooth val="0"/>
        </c:ser>
        <c:ser>
          <c:idx val="50"/>
          <c:order val="50"/>
          <c:tx>
            <c:strRef>
              <c:f>'Majors - UG'!$C$59</c:f>
              <c:strCache>
                <c:ptCount val="1"/>
                <c:pt idx="0">
                  <c:v>Recreation &amp; Tourism Mgmt</c:v>
                </c:pt>
              </c:strCache>
            </c:strRef>
          </c:tx>
          <c:spPr>
            <a:ln w="28575" cap="rnd">
              <a:solidFill>
                <a:schemeClr val="accent3">
                  <a:lumMod val="50000"/>
                  <a:lumOff val="5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UG'!$D$59:$H$59</c:f>
              <c:numCache/>
            </c:numRef>
          </c:val>
          <c:smooth val="0"/>
        </c:ser>
        <c:ser>
          <c:idx val="51"/>
          <c:order val="51"/>
          <c:tx>
            <c:strRef>
              <c:f>'Majors - UG'!$C$60</c:f>
              <c:strCache>
                <c:ptCount val="1"/>
                <c:pt idx="0">
                  <c:v>Special Ed &amp; Elem Endorsement</c:v>
                </c:pt>
              </c:strCache>
            </c:strRef>
          </c:tx>
          <c:spPr>
            <a:ln w="28575" cap="rnd">
              <a:solidFill>
                <a:schemeClr val="accent4">
                  <a:lumMod val="50000"/>
                  <a:lumOff val="5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UG'!$D$60:$H$60</c:f>
              <c:numCache/>
            </c:numRef>
          </c:val>
          <c:smooth val="0"/>
        </c:ser>
        <c:ser>
          <c:idx val="52"/>
          <c:order val="52"/>
          <c:tx>
            <c:strRef>
              <c:f>'Majors - UG'!$C$61</c:f>
              <c:strCache>
                <c:ptCount val="1"/>
                <c:pt idx="0">
                  <c:v>International Affairs</c:v>
                </c:pt>
              </c:strCache>
            </c:strRef>
          </c:tx>
          <c:spPr>
            <a:ln w="28575" cap="rnd">
              <a:solidFill>
                <a:schemeClr val="accent5">
                  <a:lumMod val="50000"/>
                  <a:lumOff val="5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UG'!$D$61:$H$61</c:f>
              <c:numCache/>
            </c:numRef>
          </c:val>
          <c:smooth val="0"/>
        </c:ser>
        <c:ser>
          <c:idx val="53"/>
          <c:order val="53"/>
          <c:tx>
            <c:strRef>
              <c:f>'Majors - UG'!$C$62</c:f>
              <c:strCache>
                <c:ptCount val="1"/>
                <c:pt idx="0">
                  <c:v>Outdoor Recreation</c:v>
                </c:pt>
              </c:strCache>
            </c:strRef>
          </c:tx>
          <c:spPr>
            <a:ln w="28575" cap="rnd">
              <a:solidFill>
                <a:schemeClr val="accent6">
                  <a:lumMod val="50000"/>
                  <a:lumOff val="5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UG'!$D$62:$H$62</c:f>
              <c:numCache/>
            </c:numRef>
          </c:val>
          <c:smooth val="0"/>
        </c:ser>
        <c:ser>
          <c:idx val="54"/>
          <c:order val="54"/>
          <c:tx>
            <c:strRef>
              <c:f>'Majors - UG'!$C$63</c:f>
              <c:strCache>
                <c:ptCount val="1"/>
                <c:pt idx="0">
                  <c:v>Theatre</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UG'!$D$63:$H$63</c:f>
              <c:numCache/>
            </c:numRef>
          </c:val>
          <c:smooth val="0"/>
        </c:ser>
        <c:ser>
          <c:idx val="55"/>
          <c:order val="55"/>
          <c:tx>
            <c:strRef>
              <c:f>'Majors - UG'!$C$64</c:f>
              <c:strCache>
                <c:ptCount val="1"/>
                <c:pt idx="0">
                  <c:v>International Business</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UG'!$D$64:$H$64</c:f>
              <c:numCache/>
            </c:numRef>
          </c:val>
          <c:smooth val="0"/>
        </c:ser>
        <c:ser>
          <c:idx val="56"/>
          <c:order val="56"/>
          <c:tx>
            <c:strRef>
              <c:f>'Majors - UG'!$C$65</c:f>
              <c:strCache>
                <c:ptCount val="1"/>
                <c:pt idx="0">
                  <c:v>Economics</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UG'!$D$65:$H$65</c:f>
              <c:numCache/>
            </c:numRef>
          </c:val>
          <c:smooth val="0"/>
        </c:ser>
        <c:ser>
          <c:idx val="57"/>
          <c:order val="57"/>
          <c:tx>
            <c:strRef>
              <c:f>'Majors - UG'!$C$66</c:f>
              <c:strCache>
                <c:ptCount val="1"/>
                <c:pt idx="0">
                  <c:v>Geology</c:v>
                </c:pt>
              </c:strCache>
            </c:strRef>
          </c:tx>
          <c:spPr>
            <a:ln w="28575"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UG'!$D$66:$H$66</c:f>
              <c:numCache/>
            </c:numRef>
          </c:val>
          <c:smooth val="0"/>
        </c:ser>
        <c:ser>
          <c:idx val="58"/>
          <c:order val="58"/>
          <c:tx>
            <c:strRef>
              <c:f>'Majors - UG'!$C$67</c:f>
              <c:strCache>
                <c:ptCount val="1"/>
                <c:pt idx="0">
                  <c:v>Anthropology</c:v>
                </c:pt>
              </c:strCache>
            </c:strRef>
          </c:tx>
          <c:spPr>
            <a:ln w="28575"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UG'!$D$67:$H$67</c:f>
              <c:numCache/>
            </c:numRef>
          </c:val>
          <c:smooth val="0"/>
        </c:ser>
        <c:ser>
          <c:idx val="59"/>
          <c:order val="59"/>
          <c:tx>
            <c:strRef>
              <c:f>'Majors - UG'!$C$68</c:f>
              <c:strCache>
                <c:ptCount val="1"/>
                <c:pt idx="0">
                  <c:v>Political Science with minor</c:v>
                </c:pt>
              </c:strCache>
            </c:strRef>
          </c:tx>
          <c:spPr>
            <a:ln w="28575" cap="rnd">
              <a:solidFill>
                <a:schemeClr val="accent6"/>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UG'!$D$68:$H$68</c:f>
              <c:numCache/>
            </c:numRef>
          </c:val>
          <c:smooth val="0"/>
        </c:ser>
        <c:ser>
          <c:idx val="60"/>
          <c:order val="60"/>
          <c:tx>
            <c:strRef>
              <c:f>'Majors - UG'!$C$69</c:f>
              <c:strCache>
                <c:ptCount val="1"/>
                <c:pt idx="0">
                  <c:v>Urban and Regional Planning</c:v>
                </c:pt>
              </c:strCache>
            </c:strRef>
          </c:tx>
          <c:spPr>
            <a:ln w="28575" cap="rnd">
              <a:solidFill>
                <a:schemeClr val="accent1">
                  <a:lumMod val="6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UG'!$D$69:$H$69</c:f>
              <c:numCache/>
            </c:numRef>
          </c:val>
          <c:smooth val="0"/>
        </c:ser>
        <c:ser>
          <c:idx val="61"/>
          <c:order val="61"/>
          <c:tx>
            <c:strRef>
              <c:f>'Majors - UG'!$C$70</c:f>
              <c:strCache>
                <c:ptCount val="1"/>
                <c:pt idx="0">
                  <c:v>Technical Communication</c:v>
                </c:pt>
              </c:strCache>
            </c:strRef>
          </c:tx>
          <c:spPr>
            <a:ln w="28575" cap="rnd">
              <a:solidFill>
                <a:schemeClr val="accent2">
                  <a:lumMod val="6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UG'!$D$70:$H$70</c:f>
              <c:numCache/>
            </c:numRef>
          </c:val>
          <c:smooth val="0"/>
        </c:ser>
        <c:ser>
          <c:idx val="62"/>
          <c:order val="62"/>
          <c:tx>
            <c:strRef>
              <c:f>'Majors - UG'!$C$71</c:f>
              <c:strCache>
                <c:ptCount val="1"/>
                <c:pt idx="0">
                  <c:v>Public Health</c:v>
                </c:pt>
              </c:strCache>
            </c:strRef>
          </c:tx>
          <c:spPr>
            <a:ln w="28575" cap="rnd">
              <a:solidFill>
                <a:schemeClr val="accent3">
                  <a:lumMod val="6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UG'!$D$71:$H$71</c:f>
              <c:numCache/>
            </c:numRef>
          </c:val>
          <c:smooth val="0"/>
        </c:ser>
        <c:ser>
          <c:idx val="63"/>
          <c:order val="63"/>
          <c:tx>
            <c:strRef>
              <c:f>'Majors - UG'!$C$72</c:f>
              <c:strCache>
                <c:ptCount val="1"/>
                <c:pt idx="0">
                  <c:v>English as a Second Language</c:v>
                </c:pt>
              </c:strCache>
            </c:strRef>
          </c:tx>
          <c:spPr>
            <a:ln w="28575" cap="rnd">
              <a:solidFill>
                <a:schemeClr val="accent4">
                  <a:lumMod val="6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UG'!$D$72:$H$72</c:f>
              <c:numCache/>
            </c:numRef>
          </c:val>
          <c:smooth val="0"/>
        </c:ser>
        <c:ser>
          <c:idx val="64"/>
          <c:order val="64"/>
          <c:tx>
            <c:strRef>
              <c:f>'Majors - UG'!$C$73</c:f>
              <c:strCache>
                <c:ptCount val="1"/>
                <c:pt idx="0">
                  <c:v>Therapeutic Recreation</c:v>
                </c:pt>
              </c:strCache>
            </c:strRef>
          </c:tx>
          <c:spPr>
            <a:ln w="28575" cap="rnd">
              <a:solidFill>
                <a:schemeClr val="accent5">
                  <a:lumMod val="6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UG'!$D$73:$H$73</c:f>
              <c:numCache/>
            </c:numRef>
          </c:val>
          <c:smooth val="0"/>
        </c:ser>
        <c:ser>
          <c:idx val="65"/>
          <c:order val="65"/>
          <c:tx>
            <c:strRef>
              <c:f>'Majors - UG'!$C$74</c:f>
              <c:strCache>
                <c:ptCount val="1"/>
                <c:pt idx="0">
                  <c:v>Business Analytics</c:v>
                </c:pt>
              </c:strCache>
            </c:strRef>
          </c:tx>
          <c:spPr>
            <a:ln w="28575" cap="rnd">
              <a:solidFill>
                <a:schemeClr val="accent6">
                  <a:lumMod val="6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UG'!$D$74:$H$74</c:f>
              <c:numCache/>
            </c:numRef>
          </c:val>
          <c:smooth val="0"/>
        </c:ser>
        <c:ser>
          <c:idx val="66"/>
          <c:order val="66"/>
          <c:tx>
            <c:strRef>
              <c:f>'Majors - UG'!$C$75</c:f>
              <c:strCache>
                <c:ptCount val="1"/>
                <c:pt idx="0">
                  <c:v>Mathemathics/Middle Level</c:v>
                </c:pt>
              </c:strCache>
            </c:strRef>
          </c:tx>
          <c:spPr>
            <a:ln w="28575" cap="rnd">
              <a:solidFill>
                <a:schemeClr val="accent1">
                  <a:lumMod val="80000"/>
                  <a:lumOff val="2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UG'!$D$75:$H$75</c:f>
              <c:numCache/>
            </c:numRef>
          </c:val>
          <c:smooth val="0"/>
        </c:ser>
        <c:ser>
          <c:idx val="67"/>
          <c:order val="67"/>
          <c:tx>
            <c:strRef>
              <c:f>'Majors - UG'!$C$76</c:f>
              <c:strCache>
                <c:ptCount val="1"/>
                <c:pt idx="0">
                  <c:v>History with minor</c:v>
                </c:pt>
              </c:strCache>
            </c:strRef>
          </c:tx>
          <c:spPr>
            <a:ln w="28575" cap="rnd">
              <a:solidFill>
                <a:schemeClr val="accent2">
                  <a:lumMod val="80000"/>
                  <a:lumOff val="2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UG'!$D$76:$H$76</c:f>
              <c:numCache/>
            </c:numRef>
          </c:val>
          <c:smooth val="0"/>
        </c:ser>
        <c:ser>
          <c:idx val="68"/>
          <c:order val="68"/>
          <c:tx>
            <c:strRef>
              <c:f>'Majors - UG'!$C$77</c:f>
              <c:strCache>
                <c:ptCount val="1"/>
                <c:pt idx="0">
                  <c:v>Human Resource Management</c:v>
                </c:pt>
              </c:strCache>
            </c:strRef>
          </c:tx>
          <c:spPr>
            <a:ln w="28575" cap="rnd">
              <a:solidFill>
                <a:schemeClr val="accent3">
                  <a:lumMod val="80000"/>
                  <a:lumOff val="2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UG'!$D$77:$H$77</c:f>
              <c:numCache/>
            </c:numRef>
          </c:val>
          <c:smooth val="0"/>
        </c:ser>
        <c:ser>
          <c:idx val="69"/>
          <c:order val="69"/>
          <c:tx>
            <c:strRef>
              <c:f>'Majors - UG'!$C$78</c:f>
              <c:strCache>
                <c:ptCount val="1"/>
                <c:pt idx="0">
                  <c:v>Geography</c:v>
                </c:pt>
              </c:strCache>
            </c:strRef>
          </c:tx>
          <c:spPr>
            <a:ln w="28575" cap="rnd">
              <a:solidFill>
                <a:schemeClr val="accent4">
                  <a:lumMod val="80000"/>
                  <a:lumOff val="2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UG'!$D$78:$H$78</c:f>
              <c:numCache/>
            </c:numRef>
          </c:val>
          <c:smooth val="0"/>
        </c:ser>
        <c:ser>
          <c:idx val="70"/>
          <c:order val="70"/>
          <c:tx>
            <c:strRef>
              <c:f>'Majors - UG'!$C$79</c:f>
              <c:strCache>
                <c:ptCount val="1"/>
                <c:pt idx="0">
                  <c:v>Economics</c:v>
                </c:pt>
              </c:strCache>
            </c:strRef>
          </c:tx>
          <c:spPr>
            <a:ln w="28575" cap="rnd">
              <a:solidFill>
                <a:schemeClr val="accent5">
                  <a:lumMod val="80000"/>
                  <a:lumOff val="2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UG'!$D$79:$H$79</c:f>
              <c:numCache/>
            </c:numRef>
          </c:val>
          <c:smooth val="0"/>
        </c:ser>
        <c:ser>
          <c:idx val="71"/>
          <c:order val="71"/>
          <c:tx>
            <c:strRef>
              <c:f>'Majors - UG'!$C$80</c:f>
              <c:strCache>
                <c:ptCount val="1"/>
                <c:pt idx="0">
                  <c:v>Journalism</c:v>
                </c:pt>
              </c:strCache>
            </c:strRef>
          </c:tx>
          <c:spPr>
            <a:ln w="28575" cap="rnd">
              <a:solidFill>
                <a:schemeClr val="accent6">
                  <a:lumMod val="80000"/>
                  <a:lumOff val="2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UG'!$D$80:$H$80</c:f>
              <c:numCache/>
            </c:numRef>
          </c:val>
          <c:smooth val="0"/>
        </c:ser>
        <c:ser>
          <c:idx val="72"/>
          <c:order val="72"/>
          <c:tx>
            <c:strRef>
              <c:f>'Majors - UG'!$C$81</c:f>
              <c:strCache>
                <c:ptCount val="1"/>
                <c:pt idx="0">
                  <c:v>Philosophy</c:v>
                </c:pt>
              </c:strCache>
            </c:strRef>
          </c:tx>
          <c:spPr>
            <a:ln w="28575" cap="rnd">
              <a:solidFill>
                <a:schemeClr val="accent1">
                  <a:lumMod val="8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UG'!$D$81:$H$81</c:f>
              <c:numCache/>
            </c:numRef>
          </c:val>
          <c:smooth val="0"/>
        </c:ser>
        <c:ser>
          <c:idx val="73"/>
          <c:order val="73"/>
          <c:tx>
            <c:strRef>
              <c:f>'Majors - UG'!$C$82</c:f>
              <c:strCache>
                <c:ptCount val="1"/>
                <c:pt idx="0">
                  <c:v>Journalism</c:v>
                </c:pt>
              </c:strCache>
            </c:strRef>
          </c:tx>
          <c:spPr>
            <a:ln w="28575" cap="rnd">
              <a:solidFill>
                <a:schemeClr val="accent2">
                  <a:lumMod val="8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UG'!$D$82:$H$82</c:f>
              <c:numCache/>
            </c:numRef>
          </c:val>
          <c:smooth val="0"/>
        </c:ser>
        <c:ser>
          <c:idx val="74"/>
          <c:order val="74"/>
          <c:tx>
            <c:strRef>
              <c:f>'Majors - UG'!$C$83</c:f>
              <c:strCache>
                <c:ptCount val="1"/>
                <c:pt idx="0">
                  <c:v>Music</c:v>
                </c:pt>
              </c:strCache>
            </c:strRef>
          </c:tx>
          <c:spPr>
            <a:ln w="28575" cap="rnd">
              <a:solidFill>
                <a:schemeClr val="accent3">
                  <a:lumMod val="8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UG'!$D$83:$H$83</c:f>
              <c:numCache/>
            </c:numRef>
          </c:val>
          <c:smooth val="0"/>
        </c:ser>
        <c:ser>
          <c:idx val="75"/>
          <c:order val="75"/>
          <c:tx>
            <c:strRef>
              <c:f>'Majors - UG'!$C$84</c:f>
              <c:strCache>
                <c:ptCount val="1"/>
                <c:pt idx="0">
                  <c:v>Biology Education</c:v>
                </c:pt>
              </c:strCache>
            </c:strRef>
          </c:tx>
          <c:spPr>
            <a:ln w="28575" cap="rnd">
              <a:solidFill>
                <a:schemeClr val="accent4">
                  <a:lumMod val="8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UG'!$D$84:$H$84</c:f>
              <c:numCache/>
            </c:numRef>
          </c:val>
          <c:smooth val="0"/>
        </c:ser>
        <c:ser>
          <c:idx val="76"/>
          <c:order val="76"/>
          <c:tx>
            <c:strRef>
              <c:f>'Majors - UG'!$C$85</c:f>
              <c:strCache>
                <c:ptCount val="1"/>
                <c:pt idx="0">
                  <c:v>Experiential Learning</c:v>
                </c:pt>
              </c:strCache>
            </c:strRef>
          </c:tx>
          <c:spPr>
            <a:ln w="28575" cap="rnd">
              <a:solidFill>
                <a:schemeClr val="accent5">
                  <a:lumMod val="8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UG'!$D$85:$H$85</c:f>
              <c:numCache/>
            </c:numRef>
          </c:val>
          <c:smooth val="0"/>
        </c:ser>
        <c:ser>
          <c:idx val="77"/>
          <c:order val="77"/>
          <c:tx>
            <c:strRef>
              <c:f>'Majors - UG'!$C$86</c:f>
              <c:strCache>
                <c:ptCount val="1"/>
                <c:pt idx="0">
                  <c:v>Philosophy with minor</c:v>
                </c:pt>
              </c:strCache>
            </c:strRef>
          </c:tx>
          <c:spPr>
            <a:ln w="28575" cap="rnd">
              <a:solidFill>
                <a:schemeClr val="accent6">
                  <a:lumMod val="8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UG'!$D$86:$H$86</c:f>
              <c:numCache/>
            </c:numRef>
          </c:val>
          <c:smooth val="0"/>
        </c:ser>
        <c:ser>
          <c:idx val="78"/>
          <c:order val="78"/>
          <c:tx>
            <c:strRef>
              <c:f>'Majors - UG'!$C$87</c:f>
              <c:strCache>
                <c:ptCount val="1"/>
                <c:pt idx="0">
                  <c:v>Art History</c:v>
                </c:pt>
              </c:strCache>
            </c:strRef>
          </c:tx>
          <c:spPr>
            <a:ln w="28575" cap="rnd">
              <a:solidFill>
                <a:schemeClr val="accent1">
                  <a:lumMod val="60000"/>
                  <a:lumOff val="4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UG'!$D$87:$H$87</c:f>
              <c:numCache/>
            </c:numRef>
          </c:val>
          <c:smooth val="0"/>
        </c:ser>
        <c:ser>
          <c:idx val="79"/>
          <c:order val="79"/>
          <c:tx>
            <c:strRef>
              <c:f>'Majors - UG'!$C$88</c:f>
              <c:strCache>
                <c:ptCount val="1"/>
                <c:pt idx="0">
                  <c:v>Race and Culture Studies</c:v>
                </c:pt>
              </c:strCache>
            </c:strRef>
          </c:tx>
          <c:spPr>
            <a:ln w="28575" cap="rnd">
              <a:solidFill>
                <a:schemeClr val="accent2">
                  <a:lumMod val="60000"/>
                  <a:lumOff val="4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UG'!$D$88:$H$88</c:f>
              <c:numCache/>
            </c:numRef>
          </c:val>
          <c:smooth val="0"/>
        </c:ser>
        <c:ser>
          <c:idx val="80"/>
          <c:order val="80"/>
          <c:tx>
            <c:strRef>
              <c:f>'Majors - UG'!$C$89</c:f>
              <c:strCache>
                <c:ptCount val="1"/>
                <c:pt idx="0">
                  <c:v>Music: Instrument, Choral, Gen</c:v>
                </c:pt>
              </c:strCache>
            </c:strRef>
          </c:tx>
          <c:spPr>
            <a:ln w="28575" cap="rnd">
              <a:solidFill>
                <a:schemeClr val="accent3">
                  <a:lumMod val="60000"/>
                  <a:lumOff val="4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UG'!$D$89:$H$89</c:f>
              <c:numCache/>
            </c:numRef>
          </c:val>
          <c:smooth val="0"/>
        </c:ser>
        <c:ser>
          <c:idx val="81"/>
          <c:order val="81"/>
          <c:tx>
            <c:strRef>
              <c:f>'Majors - UG'!$C$90</c:f>
              <c:strCache>
                <c:ptCount val="1"/>
                <c:pt idx="0">
                  <c:v>Spanish Education</c:v>
                </c:pt>
              </c:strCache>
            </c:strRef>
          </c:tx>
          <c:spPr>
            <a:ln w="28575" cap="rnd">
              <a:solidFill>
                <a:schemeClr val="accent4">
                  <a:lumMod val="60000"/>
                  <a:lumOff val="4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UG'!$D$90:$H$90</c:f>
              <c:numCache/>
            </c:numRef>
          </c:val>
          <c:smooth val="0"/>
        </c:ser>
        <c:ser>
          <c:idx val="82"/>
          <c:order val="82"/>
          <c:tx>
            <c:strRef>
              <c:f>'Majors - UG'!$C$91</c:f>
              <c:strCache>
                <c:ptCount val="1"/>
                <c:pt idx="0">
                  <c:v>Visual Arts Education</c:v>
                </c:pt>
              </c:strCache>
            </c:strRef>
          </c:tx>
          <c:spPr>
            <a:ln w="28575" cap="rnd">
              <a:solidFill>
                <a:schemeClr val="accent5">
                  <a:lumMod val="60000"/>
                  <a:lumOff val="4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UG'!$D$91:$H$91</c:f>
              <c:numCache/>
            </c:numRef>
          </c:val>
          <c:smooth val="0"/>
        </c:ser>
        <c:ser>
          <c:idx val="83"/>
          <c:order val="83"/>
          <c:tx>
            <c:strRef>
              <c:f>'Majors - UG'!$C$92</c:f>
              <c:strCache>
                <c:ptCount val="1"/>
                <c:pt idx="0">
                  <c:v>Athletic Training</c:v>
                </c:pt>
              </c:strCache>
            </c:strRef>
          </c:tx>
          <c:spPr>
            <a:ln w="28575" cap="rnd">
              <a:solidFill>
                <a:schemeClr val="accent6">
                  <a:lumMod val="60000"/>
                  <a:lumOff val="4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UG'!$D$92:$H$92</c:f>
              <c:numCache/>
            </c:numRef>
          </c:val>
          <c:smooth val="0"/>
        </c:ser>
        <c:ser>
          <c:idx val="84"/>
          <c:order val="84"/>
          <c:tx>
            <c:strRef>
              <c:f>'Majors - UG'!$C$93</c:f>
              <c:strCache>
                <c:ptCount val="1"/>
                <c:pt idx="0">
                  <c:v>Physics</c:v>
                </c:pt>
              </c:strCache>
            </c:strRef>
          </c:tx>
          <c:spPr>
            <a:ln w="28575" cap="rnd">
              <a:solidFill>
                <a:schemeClr val="accent1">
                  <a:lumMod val="5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UG'!$D$93:$H$93</c:f>
              <c:numCache/>
            </c:numRef>
          </c:val>
          <c:smooth val="0"/>
        </c:ser>
        <c:ser>
          <c:idx val="85"/>
          <c:order val="85"/>
          <c:tx>
            <c:strRef>
              <c:f>'Majors - UG'!$C$94</c:f>
              <c:strCache>
                <c:ptCount val="1"/>
                <c:pt idx="0">
                  <c:v>Spanish with minor</c:v>
                </c:pt>
              </c:strCache>
            </c:strRef>
          </c:tx>
          <c:spPr>
            <a:ln w="28575" cap="rnd">
              <a:solidFill>
                <a:schemeClr val="accent2">
                  <a:lumMod val="5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UG'!$D$94:$H$94</c:f>
              <c:numCache/>
            </c:numRef>
          </c:val>
          <c:smooth val="0"/>
        </c:ser>
        <c:ser>
          <c:idx val="86"/>
          <c:order val="86"/>
          <c:tx>
            <c:strRef>
              <c:f>'Majors - UG'!$C$95</c:f>
              <c:strCache>
                <c:ptCount val="1"/>
                <c:pt idx="0">
                  <c:v>Chemistry/Biochemistry</c:v>
                </c:pt>
              </c:strCache>
            </c:strRef>
          </c:tx>
          <c:spPr>
            <a:ln w="28575" cap="rnd">
              <a:solidFill>
                <a:schemeClr val="accent3">
                  <a:lumMod val="5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UG'!$D$95:$H$95</c:f>
              <c:numCache/>
            </c:numRef>
          </c:val>
          <c:smooth val="0"/>
        </c:ser>
        <c:ser>
          <c:idx val="87"/>
          <c:order val="87"/>
          <c:tx>
            <c:strRef>
              <c:f>'Majors - UG'!$C$96</c:f>
              <c:strCache>
                <c:ptCount val="1"/>
                <c:pt idx="0">
                  <c:v>Humanities</c:v>
                </c:pt>
              </c:strCache>
            </c:strRef>
          </c:tx>
          <c:spPr>
            <a:ln w="28575" cap="rnd">
              <a:solidFill>
                <a:schemeClr val="accent4">
                  <a:lumMod val="5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UG'!$D$96:$H$96</c:f>
              <c:numCache/>
            </c:numRef>
          </c:val>
          <c:smooth val="0"/>
        </c:ser>
        <c:ser>
          <c:idx val="88"/>
          <c:order val="88"/>
          <c:tx>
            <c:strRef>
              <c:f>'Majors - UG'!$C$97</c:f>
              <c:strCache>
                <c:ptCount val="1"/>
                <c:pt idx="0">
                  <c:v>Women's and Gender Studies</c:v>
                </c:pt>
              </c:strCache>
            </c:strRef>
          </c:tx>
          <c:spPr>
            <a:ln w="28575" cap="rnd">
              <a:solidFill>
                <a:schemeClr val="accent5">
                  <a:lumMod val="5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UG'!$D$97:$H$97</c:f>
              <c:numCache/>
            </c:numRef>
          </c:val>
          <c:smooth val="0"/>
        </c:ser>
        <c:ser>
          <c:idx val="89"/>
          <c:order val="89"/>
          <c:tx>
            <c:strRef>
              <c:f>'Majors - UG'!$C$98</c:f>
              <c:strCache>
                <c:ptCount val="1"/>
                <c:pt idx="0">
                  <c:v>Earth &amp; Space Science Secondar</c:v>
                </c:pt>
              </c:strCache>
            </c:strRef>
          </c:tx>
          <c:spPr>
            <a:ln w="28575" cap="rnd">
              <a:solidFill>
                <a:schemeClr val="accent6">
                  <a:lumMod val="5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UG'!$D$98:$H$98</c:f>
              <c:numCache/>
            </c:numRef>
          </c:val>
          <c:smooth val="0"/>
        </c:ser>
        <c:ser>
          <c:idx val="90"/>
          <c:order val="90"/>
          <c:tx>
            <c:strRef>
              <c:f>'Majors - UG'!$C$99</c:f>
              <c:strCache>
                <c:ptCount val="1"/>
                <c:pt idx="0">
                  <c:v>Natural Science Education</c:v>
                </c:pt>
              </c:strCache>
            </c:strRef>
          </c:tx>
          <c:spPr>
            <a:ln w="28575" cap="rnd">
              <a:solidFill>
                <a:schemeClr val="accent1">
                  <a:lumMod val="70000"/>
                  <a:lumOff val="3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UG'!$D$99:$H$99</c:f>
              <c:numCache/>
            </c:numRef>
          </c:val>
          <c:smooth val="0"/>
        </c:ser>
        <c:ser>
          <c:idx val="91"/>
          <c:order val="91"/>
          <c:tx>
            <c:strRef>
              <c:f>'Majors - UG'!$C$100</c:f>
              <c:strCache>
                <c:ptCount val="1"/>
                <c:pt idx="0">
                  <c:v>Health Informatics Tech &amp; Mgmt</c:v>
                </c:pt>
              </c:strCache>
            </c:strRef>
          </c:tx>
          <c:spPr>
            <a:ln w="28575" cap="rnd">
              <a:solidFill>
                <a:schemeClr val="accent2">
                  <a:lumMod val="70000"/>
                  <a:lumOff val="3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UG'!$D$100:$H$100</c:f>
              <c:numCache/>
            </c:numRef>
          </c:val>
          <c:smooth val="0"/>
        </c:ser>
        <c:ser>
          <c:idx val="92"/>
          <c:order val="92"/>
          <c:tx>
            <c:strRef>
              <c:f>'Majors - UG'!$C$101</c:f>
              <c:strCache>
                <c:ptCount val="1"/>
                <c:pt idx="0">
                  <c:v>Physics</c:v>
                </c:pt>
              </c:strCache>
            </c:strRef>
          </c:tx>
          <c:spPr>
            <a:ln w="28575" cap="rnd">
              <a:solidFill>
                <a:schemeClr val="accent3">
                  <a:lumMod val="70000"/>
                  <a:lumOff val="3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UG'!$D$101:$H$101</c:f>
              <c:numCache/>
            </c:numRef>
          </c:val>
          <c:smooth val="0"/>
        </c:ser>
        <c:ser>
          <c:idx val="93"/>
          <c:order val="93"/>
          <c:tx>
            <c:strRef>
              <c:f>'Majors - UG'!$C$102</c:f>
              <c:strCache>
                <c:ptCount val="1"/>
                <c:pt idx="0">
                  <c:v>Chemistry/Biochem Education</c:v>
                </c:pt>
              </c:strCache>
            </c:strRef>
          </c:tx>
          <c:spPr>
            <a:ln w="28575" cap="rnd">
              <a:solidFill>
                <a:schemeClr val="accent4">
                  <a:lumMod val="70000"/>
                  <a:lumOff val="3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UG'!$D$102:$H$102</c:f>
              <c:numCache/>
            </c:numRef>
          </c:val>
          <c:smooth val="0"/>
        </c:ser>
        <c:ser>
          <c:idx val="94"/>
          <c:order val="94"/>
          <c:tx>
            <c:strRef>
              <c:f>'Majors - UG'!$C$103</c:f>
              <c:strCache>
                <c:ptCount val="1"/>
                <c:pt idx="0">
                  <c:v>Health and Physical Education</c:v>
                </c:pt>
              </c:strCache>
            </c:strRef>
          </c:tx>
          <c:spPr>
            <a:ln w="28575" cap="rnd">
              <a:solidFill>
                <a:schemeClr val="accent5">
                  <a:lumMod val="70000"/>
                  <a:lumOff val="3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UG'!$D$103:$H$103</c:f>
              <c:numCache/>
            </c:numRef>
          </c:val>
          <c:smooth val="0"/>
        </c:ser>
        <c:ser>
          <c:idx val="95"/>
          <c:order val="95"/>
          <c:tx>
            <c:strRef>
              <c:f>'Majors - UG'!$C$104</c:f>
              <c:strCache>
                <c:ptCount val="1"/>
                <c:pt idx="0">
                  <c:v>Business &amp; Marketing Education</c:v>
                </c:pt>
              </c:strCache>
            </c:strRef>
          </c:tx>
          <c:spPr>
            <a:ln w="28575" cap="rnd">
              <a:solidFill>
                <a:schemeClr val="accent6">
                  <a:lumMod val="70000"/>
                  <a:lumOff val="3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UG'!$D$104:$H$104</c:f>
              <c:numCache/>
            </c:numRef>
          </c:val>
          <c:smooth val="0"/>
        </c:ser>
        <c:ser>
          <c:idx val="96"/>
          <c:order val="96"/>
          <c:tx>
            <c:strRef>
              <c:f>'Majors - UG'!$C$105</c:f>
              <c:strCache>
                <c:ptCount val="1"/>
                <c:pt idx="0">
                  <c:v>Applied Technology</c:v>
                </c:pt>
              </c:strCache>
            </c:strRef>
          </c:tx>
          <c:spPr>
            <a:ln w="28575" cap="rnd">
              <a:solidFill>
                <a:schemeClr val="accent1">
                  <a:lumMod val="7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UG'!$D$105:$H$105</c:f>
              <c:numCache/>
            </c:numRef>
          </c:val>
          <c:smooth val="0"/>
        </c:ser>
        <c:ser>
          <c:idx val="97"/>
          <c:order val="97"/>
          <c:tx>
            <c:strRef>
              <c:f>'Majors - UG'!$C$106</c:f>
              <c:strCache>
                <c:ptCount val="1"/>
                <c:pt idx="0">
                  <c:v>French with minor</c:v>
                </c:pt>
              </c:strCache>
            </c:strRef>
          </c:tx>
          <c:spPr>
            <a:ln w="28575" cap="rnd">
              <a:solidFill>
                <a:schemeClr val="accent2">
                  <a:lumMod val="7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UG'!$D$106:$H$106</c:f>
              <c:numCache/>
            </c:numRef>
          </c:val>
          <c:smooth val="0"/>
        </c:ser>
        <c:ser>
          <c:idx val="98"/>
          <c:order val="98"/>
          <c:tx>
            <c:strRef>
              <c:f>'Majors - UG'!$C$107</c:f>
              <c:strCache>
                <c:ptCount val="1"/>
                <c:pt idx="0">
                  <c:v>Studio Art</c:v>
                </c:pt>
              </c:strCache>
            </c:strRef>
          </c:tx>
          <c:spPr>
            <a:ln w="28575" cap="rnd">
              <a:solidFill>
                <a:schemeClr val="accent3">
                  <a:lumMod val="7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UG'!$D$107:$H$107</c:f>
              <c:numCache/>
            </c:numRef>
          </c:val>
          <c:smooth val="0"/>
        </c:ser>
        <c:ser>
          <c:idx val="99"/>
          <c:order val="99"/>
          <c:tx>
            <c:strRef>
              <c:f>'Majors - UG'!$C$108</c:f>
              <c:strCache>
                <c:ptCount val="1"/>
                <c:pt idx="0">
                  <c:v>Educational Studies</c:v>
                </c:pt>
              </c:strCache>
            </c:strRef>
          </c:tx>
          <c:spPr>
            <a:ln w="28575" cap="rnd">
              <a:solidFill>
                <a:schemeClr val="accent4">
                  <a:lumMod val="7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UG'!$D$108:$H$108</c:f>
              <c:numCache/>
            </c:numRef>
          </c:val>
          <c:smooth val="0"/>
        </c:ser>
        <c:ser>
          <c:idx val="100"/>
          <c:order val="100"/>
          <c:tx>
            <c:strRef>
              <c:f>'Majors - UG'!$C$109</c:f>
              <c:strCache>
                <c:ptCount val="1"/>
                <c:pt idx="0">
                  <c:v>French</c:v>
                </c:pt>
              </c:strCache>
            </c:strRef>
          </c:tx>
          <c:spPr>
            <a:ln w="28575" cap="rnd">
              <a:solidFill>
                <a:schemeClr val="accent5">
                  <a:lumMod val="7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UG'!$D$109:$H$109</c:f>
              <c:numCache/>
            </c:numRef>
          </c:val>
          <c:smooth val="0"/>
        </c:ser>
        <c:ser>
          <c:idx val="101"/>
          <c:order val="101"/>
          <c:tx>
            <c:strRef>
              <c:f>'Majors - UG'!$C$110</c:f>
              <c:strCache>
                <c:ptCount val="1"/>
                <c:pt idx="0">
                  <c:v>Musical Theatre</c:v>
                </c:pt>
              </c:strCache>
            </c:strRef>
          </c:tx>
          <c:spPr>
            <a:ln w="28575" cap="rnd">
              <a:solidFill>
                <a:schemeClr val="accent6">
                  <a:lumMod val="7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UG'!$D$110:$H$110</c:f>
              <c:numCache/>
            </c:numRef>
          </c:val>
          <c:smooth val="0"/>
        </c:ser>
        <c:ser>
          <c:idx val="102"/>
          <c:order val="102"/>
          <c:tx>
            <c:strRef>
              <c:f>'Majors - UG'!$C$111</c:f>
              <c:strCache>
                <c:ptCount val="1"/>
                <c:pt idx="0">
                  <c:v>Physics Education</c:v>
                </c:pt>
              </c:strCache>
            </c:strRef>
          </c:tx>
          <c:spPr>
            <a:ln w="28575" cap="rnd">
              <a:solidFill>
                <a:schemeClr val="accent1">
                  <a:lumMod val="50000"/>
                  <a:lumOff val="5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UG'!$D$111:$H$111</c:f>
              <c:numCache/>
            </c:numRef>
          </c:val>
          <c:smooth val="0"/>
        </c:ser>
        <c:ser>
          <c:idx val="103"/>
          <c:order val="103"/>
          <c:tx>
            <c:strRef>
              <c:f>'Majors - UG'!$C$112</c:f>
              <c:strCache>
                <c:ptCount val="1"/>
                <c:pt idx="0">
                  <c:v>Computer Information Systems</c:v>
                </c:pt>
              </c:strCache>
            </c:strRef>
          </c:tx>
          <c:spPr>
            <a:ln w="28575" cap="rnd">
              <a:solidFill>
                <a:schemeClr val="accent2">
                  <a:lumMod val="50000"/>
                  <a:lumOff val="5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UG'!$D$112:$H$112</c:f>
              <c:numCache/>
            </c:numRef>
          </c:val>
          <c:smooth val="0"/>
        </c:ser>
        <c:ser>
          <c:idx val="104"/>
          <c:order val="104"/>
          <c:tx>
            <c:strRef>
              <c:f>'Majors - UG'!$C$113</c:f>
              <c:strCache>
                <c:ptCount val="1"/>
                <c:pt idx="0">
                  <c:v>BAB w/ undecided major</c:v>
                </c:pt>
              </c:strCache>
            </c:strRef>
          </c:tx>
          <c:spPr>
            <a:ln w="28575" cap="rnd">
              <a:solidFill>
                <a:schemeClr val="accent3">
                  <a:lumMod val="50000"/>
                  <a:lumOff val="5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UG'!$D$113:$H$113</c:f>
              <c:numCache/>
            </c:numRef>
          </c:val>
          <c:smooth val="0"/>
        </c:ser>
        <c:ser>
          <c:idx val="105"/>
          <c:order val="105"/>
          <c:tx>
            <c:strRef>
              <c:f>'Majors - UG'!$C$114</c:f>
              <c:strCache>
                <c:ptCount val="1"/>
                <c:pt idx="0">
                  <c:v>Economics (Business)</c:v>
                </c:pt>
              </c:strCache>
            </c:strRef>
          </c:tx>
          <c:spPr>
            <a:ln w="28575" cap="rnd">
              <a:solidFill>
                <a:schemeClr val="accent4">
                  <a:lumMod val="50000"/>
                  <a:lumOff val="5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UG'!$D$114:$H$114</c:f>
              <c:numCache/>
            </c:numRef>
          </c:val>
          <c:smooth val="0"/>
        </c:ser>
        <c:ser>
          <c:idx val="106"/>
          <c:order val="106"/>
          <c:tx>
            <c:strRef>
              <c:f>'Majors - UG'!$C$115</c:f>
              <c:strCache>
                <c:ptCount val="1"/>
                <c:pt idx="0">
                  <c:v>General Management</c:v>
                </c:pt>
              </c:strCache>
            </c:strRef>
          </c:tx>
          <c:spPr>
            <a:ln w="28575" cap="rnd">
              <a:solidFill>
                <a:schemeClr val="accent5">
                  <a:lumMod val="50000"/>
                  <a:lumOff val="5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UG'!$D$115:$H$115</c:f>
              <c:numCache/>
            </c:numRef>
          </c:val>
          <c:smooth val="0"/>
        </c:ser>
        <c:ser>
          <c:idx val="107"/>
          <c:order val="107"/>
          <c:tx>
            <c:strRef>
              <c:f>'Majors - UG'!$C$116</c:f>
              <c:strCache>
                <c:ptCount val="1"/>
                <c:pt idx="0">
                  <c:v>Computer Science</c:v>
                </c:pt>
              </c:strCache>
            </c:strRef>
          </c:tx>
          <c:spPr>
            <a:ln w="28575" cap="rnd">
              <a:solidFill>
                <a:schemeClr val="accent6">
                  <a:lumMod val="50000"/>
                  <a:lumOff val="5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UG'!$D$116:$H$116</c:f>
              <c:numCache/>
            </c:numRef>
          </c:val>
          <c:smooth val="0"/>
        </c:ser>
        <c:ser>
          <c:idx val="108"/>
          <c:order val="108"/>
          <c:tx>
            <c:strRef>
              <c:f>'Majors - UG'!$C$117</c:f>
              <c:strCache>
                <c:ptCount val="1"/>
                <c:pt idx="0">
                  <c:v>Geology</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UG'!$D$117:$H$117</c:f>
              <c:numCache/>
            </c:numRef>
          </c:val>
          <c:smooth val="0"/>
        </c:ser>
        <c:ser>
          <c:idx val="109"/>
          <c:order val="109"/>
          <c:tx>
            <c:strRef>
              <c:f>'Majors - UG'!$C$118</c:f>
              <c:strCache>
                <c:ptCount val="1"/>
                <c:pt idx="0">
                  <c:v>Mathematics</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UG'!$D$118:$H$118</c:f>
              <c:numCache/>
            </c:numRef>
          </c:val>
          <c:smooth val="0"/>
        </c:ser>
        <c:ser>
          <c:idx val="110"/>
          <c:order val="110"/>
          <c:tx>
            <c:strRef>
              <c:f>'Majors - UG'!$C$119</c:f>
              <c:strCache>
                <c:ptCount val="1"/>
                <c:pt idx="0">
                  <c:v>French Education</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UG'!$D$119:$H$119</c:f>
              <c:numCache/>
            </c:numRef>
          </c:val>
          <c:smooth val="0"/>
        </c:ser>
        <c:ser>
          <c:idx val="111"/>
          <c:order val="111"/>
          <c:tx>
            <c:strRef>
              <c:f>'Majors - UG'!$C$120</c:f>
              <c:strCache>
                <c:ptCount val="1"/>
                <c:pt idx="0">
                  <c:v>Reading Education</c:v>
                </c:pt>
              </c:strCache>
            </c:strRef>
          </c:tx>
          <c:spPr>
            <a:ln w="28575"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UG'!$D$120:$H$120</c:f>
              <c:numCache/>
            </c:numRef>
          </c:val>
          <c:smooth val="0"/>
        </c:ser>
        <c:ser>
          <c:idx val="112"/>
          <c:order val="112"/>
          <c:tx>
            <c:strRef>
              <c:f>'Majors - UG'!$C$121</c:f>
              <c:strCache>
                <c:ptCount val="1"/>
                <c:pt idx="0">
                  <c:v>Visual Communication Design</c:v>
                </c:pt>
              </c:strCache>
            </c:strRef>
          </c:tx>
          <c:spPr>
            <a:ln w="28575"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UG'!$D$121:$H$121</c:f>
              <c:numCache/>
            </c:numRef>
          </c:val>
          <c:smooth val="0"/>
        </c:ser>
        <c:ser>
          <c:idx val="113"/>
          <c:order val="113"/>
          <c:tx>
            <c:strRef>
              <c:f>'Majors - UG'!$C$122</c:f>
              <c:strCache>
                <c:ptCount val="1"/>
                <c:pt idx="0">
                  <c:v>Jazz Performance</c:v>
                </c:pt>
              </c:strCache>
            </c:strRef>
          </c:tx>
          <c:spPr>
            <a:ln w="28575" cap="rnd">
              <a:solidFill>
                <a:schemeClr val="accent6"/>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UG'!$D$122:$H$122</c:f>
              <c:numCache/>
            </c:numRef>
          </c:val>
          <c:smooth val="0"/>
        </c:ser>
        <c:ser>
          <c:idx val="114"/>
          <c:order val="114"/>
          <c:tx>
            <c:strRef>
              <c:f>'Majors - UG'!$C$123</c:f>
              <c:strCache>
                <c:ptCount val="1"/>
                <c:pt idx="0">
                  <c:v>Community Health</c:v>
                </c:pt>
              </c:strCache>
            </c:strRef>
          </c:tx>
          <c:spPr>
            <a:ln w="28575" cap="rnd">
              <a:solidFill>
                <a:schemeClr val="accent1">
                  <a:lumMod val="6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UG'!$D$123:$H$123</c:f>
              <c:numCache/>
            </c:numRef>
          </c:val>
          <c:smooth val="0"/>
        </c:ser>
        <c:ser>
          <c:idx val="115"/>
          <c:order val="115"/>
          <c:tx>
            <c:strRef>
              <c:f>'Majors - UG'!$C$124</c:f>
              <c:strCache>
                <c:ptCount val="1"/>
                <c:pt idx="0">
                  <c:v>Health Science</c:v>
                </c:pt>
              </c:strCache>
            </c:strRef>
          </c:tx>
          <c:spPr>
            <a:ln w="28575" cap="rnd">
              <a:solidFill>
                <a:schemeClr val="accent2">
                  <a:lumMod val="6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UG'!$D$8:$H$8</c:f>
              <c:strCache/>
            </c:strRef>
          </c:cat>
          <c:val>
            <c:numRef>
              <c:f>'Majors - UG'!$D$124:$H$124</c:f>
              <c:numCache/>
            </c:numRef>
          </c:val>
          <c:smooth val="0"/>
        </c:ser>
        <c:axId val="46306184"/>
        <c:axId val="14102473"/>
      </c:lineChart>
      <c:catAx>
        <c:axId val="46306184"/>
        <c:scaling>
          <c:orientation val="minMax"/>
        </c:scaling>
        <c:axPos val="b"/>
        <c:title>
          <c:tx>
            <c:rich>
              <a:bodyPr vert="horz" rot="0" anchor="ctr"/>
              <a:lstStyle/>
              <a:p>
                <a:pPr algn="ctr">
                  <a:defRPr/>
                </a:pPr>
                <a:r>
                  <a:rPr lang="en-US" cap="none" sz="1000" b="0" i="0" u="none" baseline="0">
                    <a:solidFill>
                      <a:schemeClr val="tx1">
                        <a:lumMod val="65000"/>
                        <a:lumOff val="35000"/>
                      </a:schemeClr>
                    </a:solidFill>
                    <a:latin typeface="+mn-lt"/>
                    <a:ea typeface="Verdana"/>
                    <a:cs typeface="Verdana"/>
                  </a:rPr>
                  <a:t>Academic Year</a:t>
                </a:r>
              </a:p>
            </c:rich>
          </c:tx>
          <c:layout/>
          <c:overlay val="0"/>
          <c:spPr>
            <a:noFill/>
            <a:ln>
              <a:noFill/>
            </a:ln>
          </c:spPr>
        </c:title>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4102473"/>
        <c:crosses val="autoZero"/>
        <c:auto val="1"/>
        <c:lblOffset val="100"/>
        <c:noMultiLvlLbl val="0"/>
      </c:catAx>
      <c:valAx>
        <c:axId val="14102473"/>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Verdana"/>
                    <a:cs typeface="Verdana"/>
                  </a:rPr>
                  <a:t>Declared</a:t>
                </a:r>
                <a:r>
                  <a:rPr lang="en-US" cap="none" sz="1000" b="0" i="0" u="none" baseline="0">
                    <a:solidFill>
                      <a:schemeClr val="tx1">
                        <a:lumMod val="65000"/>
                        <a:lumOff val="35000"/>
                      </a:schemeClr>
                    </a:solidFill>
                    <a:latin typeface="+mn-lt"/>
                    <a:ea typeface="Verdana"/>
                    <a:cs typeface="Verdana"/>
                  </a:rPr>
                  <a:t> Majors</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6306184"/>
        <c:crosses val="autoZero"/>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tx>
            <c:strRef>
              <c:f>'Majors - Grad'!$B$9</c:f>
              <c:strCache>
                <c:ptCount val="1"/>
                <c:pt idx="0">
                  <c:v>Social Work</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Grad'!$C$8:$G$8</c:f>
              <c:strCache/>
            </c:strRef>
          </c:cat>
          <c:val>
            <c:numRef>
              <c:f>'Majors - Grad'!$C$9:$G$9</c:f>
              <c:numCache/>
            </c:numRef>
          </c:val>
          <c:smooth val="0"/>
        </c:ser>
        <c:ser>
          <c:idx val="1"/>
          <c:order val="1"/>
          <c:tx>
            <c:strRef>
              <c:f>'Majors - Grad'!$B$11</c:f>
              <c:strCache>
                <c:ptCount val="1"/>
                <c:pt idx="0">
                  <c:v>Occupational Therapy</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Grad'!$C$8:$G$8</c:f>
              <c:strCache/>
            </c:strRef>
          </c:cat>
          <c:val>
            <c:numRef>
              <c:f>'Majors - Grad'!$C$11:$G$11</c:f>
              <c:numCache/>
            </c:numRef>
          </c:val>
          <c:smooth val="0"/>
        </c:ser>
        <c:ser>
          <c:idx val="2"/>
          <c:order val="2"/>
          <c:tx>
            <c:strRef>
              <c:f>'Majors - Grad'!$B$12</c:f>
              <c:strCache>
                <c:ptCount val="1"/>
                <c:pt idx="0">
                  <c:v>Business Administration</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Grad'!$C$8:$G$8</c:f>
              <c:strCache/>
            </c:strRef>
          </c:cat>
          <c:val>
            <c:numRef>
              <c:f>'Majors - Grad'!$C$12:$G$12</c:f>
              <c:numCache/>
            </c:numRef>
          </c:val>
          <c:smooth val="0"/>
        </c:ser>
        <c:ser>
          <c:idx val="3"/>
          <c:order val="3"/>
          <c:tx>
            <c:strRef>
              <c:f>'Majors - Grad'!$B$13</c:f>
              <c:strCache>
                <c:ptCount val="1"/>
                <c:pt idx="0">
                  <c:v>Public Administration</c:v>
                </c:pt>
              </c:strCache>
            </c:strRef>
          </c:tx>
          <c:spPr>
            <a:ln w="28575"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Grad'!$C$8:$G$8</c:f>
              <c:strCache/>
            </c:strRef>
          </c:cat>
          <c:val>
            <c:numRef>
              <c:f>'Majors - Grad'!$C$13:$G$13</c:f>
              <c:numCache/>
            </c:numRef>
          </c:val>
          <c:smooth val="0"/>
        </c:ser>
        <c:ser>
          <c:idx val="4"/>
          <c:order val="4"/>
          <c:tx>
            <c:strRef>
              <c:f>'Majors - Grad'!$B$14</c:f>
              <c:strCache>
                <c:ptCount val="1"/>
                <c:pt idx="0">
                  <c:v>Comm Sciences &amp; Disorders</c:v>
                </c:pt>
              </c:strCache>
            </c:strRef>
          </c:tx>
          <c:spPr>
            <a:ln w="28575"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Grad'!$C$8:$G$8</c:f>
              <c:strCache/>
            </c:strRef>
          </c:cat>
          <c:val>
            <c:numRef>
              <c:f>'Majors - Grad'!$C$14:$G$14</c:f>
              <c:numCache/>
            </c:numRef>
          </c:val>
          <c:smooth val="0"/>
        </c:ser>
        <c:ser>
          <c:idx val="5"/>
          <c:order val="5"/>
          <c:tx>
            <c:strRef>
              <c:f>'Majors - Grad'!$B$15</c:f>
              <c:strCache>
                <c:ptCount val="1"/>
                <c:pt idx="0">
                  <c:v>Creative Writing</c:v>
                </c:pt>
              </c:strCache>
            </c:strRef>
          </c:tx>
          <c:spPr>
            <a:ln w="28575" cap="rnd">
              <a:solidFill>
                <a:schemeClr val="accent6"/>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Grad'!$C$8:$G$8</c:f>
              <c:strCache/>
            </c:strRef>
          </c:cat>
          <c:val>
            <c:numRef>
              <c:f>'Majors - Grad'!$C$15:$G$15</c:f>
              <c:numCache/>
            </c:numRef>
          </c:val>
          <c:smooth val="0"/>
        </c:ser>
        <c:ser>
          <c:idx val="6"/>
          <c:order val="6"/>
          <c:tx>
            <c:strRef>
              <c:f>'Majors - Grad'!$B$16</c:f>
              <c:strCache>
                <c:ptCount val="1"/>
                <c:pt idx="0">
                  <c:v>Professional Accounting</c:v>
                </c:pt>
              </c:strCache>
            </c:strRef>
          </c:tx>
          <c:spPr>
            <a:ln w="28575" cap="rnd">
              <a:solidFill>
                <a:schemeClr val="accent1">
                  <a:lumMod val="6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Grad'!$C$8:$G$8</c:f>
              <c:strCache/>
            </c:strRef>
          </c:cat>
          <c:val>
            <c:numRef>
              <c:f>'Majors - Grad'!$C$16:$G$16</c:f>
              <c:numCache/>
            </c:numRef>
          </c:val>
          <c:smooth val="0"/>
        </c:ser>
        <c:ser>
          <c:idx val="7"/>
          <c:order val="7"/>
          <c:tx>
            <c:strRef>
              <c:f>'Majors - Grad'!$B$17</c:f>
              <c:strCache>
                <c:ptCount val="1"/>
                <c:pt idx="0">
                  <c:v>Counseling</c:v>
                </c:pt>
              </c:strCache>
            </c:strRef>
          </c:tx>
          <c:spPr>
            <a:ln w="28575" cap="rnd">
              <a:solidFill>
                <a:schemeClr val="accent2">
                  <a:lumMod val="6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Grad'!$C$8:$G$8</c:f>
              <c:strCache/>
            </c:strRef>
          </c:cat>
          <c:val>
            <c:numRef>
              <c:f>'Majors - Grad'!$C$17:$G$17</c:f>
              <c:numCache/>
            </c:numRef>
          </c:val>
          <c:smooth val="0"/>
        </c:ser>
        <c:ser>
          <c:idx val="8"/>
          <c:order val="8"/>
          <c:tx>
            <c:strRef>
              <c:f>'Majors - Grad'!$B$18</c:f>
              <c:strCache>
                <c:ptCount val="1"/>
                <c:pt idx="0">
                  <c:v>Physical Education</c:v>
                </c:pt>
              </c:strCache>
            </c:strRef>
          </c:tx>
          <c:spPr>
            <a:ln w="28575" cap="rnd">
              <a:solidFill>
                <a:schemeClr val="accent3">
                  <a:lumMod val="6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Grad'!$C$8:$G$8</c:f>
              <c:strCache/>
            </c:strRef>
          </c:cat>
          <c:val>
            <c:numRef>
              <c:f>'Majors - Grad'!$C$18:$G$18</c:f>
              <c:numCache/>
            </c:numRef>
          </c:val>
          <c:smooth val="0"/>
        </c:ser>
        <c:ser>
          <c:idx val="9"/>
          <c:order val="9"/>
          <c:tx>
            <c:strRef>
              <c:f>'Majors - Grad'!$B$19</c:f>
              <c:strCache>
                <c:ptCount val="1"/>
                <c:pt idx="0">
                  <c:v>Education</c:v>
                </c:pt>
              </c:strCache>
            </c:strRef>
          </c:tx>
          <c:spPr>
            <a:ln w="28575" cap="rnd">
              <a:solidFill>
                <a:schemeClr val="accent4">
                  <a:lumMod val="6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Grad'!$C$8:$G$8</c:f>
              <c:strCache/>
            </c:strRef>
          </c:cat>
          <c:val>
            <c:numRef>
              <c:f>'Majors - Grad'!$C$19:$G$19</c:f>
              <c:numCache/>
            </c:numRef>
          </c:val>
          <c:smooth val="0"/>
        </c:ser>
        <c:ser>
          <c:idx val="10"/>
          <c:order val="10"/>
          <c:tx>
            <c:strRef>
              <c:f>'Majors - Grad'!$B$20</c:f>
              <c:strCache>
                <c:ptCount val="1"/>
                <c:pt idx="0">
                  <c:v>Communications</c:v>
                </c:pt>
              </c:strCache>
            </c:strRef>
          </c:tx>
          <c:spPr>
            <a:ln w="28575" cap="rnd">
              <a:solidFill>
                <a:schemeClr val="accent5">
                  <a:lumMod val="6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Grad'!$C$8:$G$8</c:f>
              <c:strCache/>
            </c:strRef>
          </c:cat>
          <c:val>
            <c:numRef>
              <c:f>'Majors - Grad'!$C$20:$G$20</c:f>
              <c:numCache/>
            </c:numRef>
          </c:val>
          <c:smooth val="0"/>
        </c:ser>
        <c:ser>
          <c:idx val="11"/>
          <c:order val="11"/>
          <c:tx>
            <c:strRef>
              <c:f>'Majors - Grad'!$B$21</c:f>
              <c:strCache>
                <c:ptCount val="1"/>
                <c:pt idx="0">
                  <c:v>School Psychology</c:v>
                </c:pt>
              </c:strCache>
            </c:strRef>
          </c:tx>
          <c:spPr>
            <a:ln w="28575" cap="rnd">
              <a:solidFill>
                <a:schemeClr val="accent6">
                  <a:lumMod val="6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Grad'!$C$8:$G$8</c:f>
              <c:strCache/>
            </c:strRef>
          </c:cat>
          <c:val>
            <c:numRef>
              <c:f>'Majors - Grad'!$C$21:$G$21</c:f>
              <c:numCache/>
            </c:numRef>
          </c:val>
          <c:smooth val="0"/>
        </c:ser>
        <c:ser>
          <c:idx val="12"/>
          <c:order val="12"/>
          <c:tx>
            <c:strRef>
              <c:f>'Majors - Grad'!$B$22</c:f>
              <c:strCache>
                <c:ptCount val="1"/>
                <c:pt idx="0">
                  <c:v>Biology</c:v>
                </c:pt>
              </c:strCache>
            </c:strRef>
          </c:tx>
          <c:spPr>
            <a:ln w="28575" cap="rnd">
              <a:solidFill>
                <a:schemeClr val="accent1">
                  <a:lumMod val="80000"/>
                  <a:lumOff val="2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Grad'!$C$8:$G$8</c:f>
              <c:strCache/>
            </c:strRef>
          </c:cat>
          <c:val>
            <c:numRef>
              <c:f>'Majors - Grad'!$C$22:$G$22</c:f>
              <c:numCache/>
            </c:numRef>
          </c:val>
          <c:smooth val="0"/>
        </c:ser>
        <c:ser>
          <c:idx val="13"/>
          <c:order val="13"/>
          <c:tx>
            <c:strRef>
              <c:f>'Majors - Grad'!$B$23</c:f>
              <c:strCache>
                <c:ptCount val="1"/>
                <c:pt idx="0">
                  <c:v>Public Health</c:v>
                </c:pt>
              </c:strCache>
            </c:strRef>
          </c:tx>
          <c:spPr>
            <a:ln w="28575" cap="rnd">
              <a:solidFill>
                <a:schemeClr val="accent2">
                  <a:lumMod val="80000"/>
                  <a:lumOff val="2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Grad'!$C$8:$G$8</c:f>
              <c:strCache/>
            </c:strRef>
          </c:cat>
          <c:val>
            <c:numRef>
              <c:f>'Majors - Grad'!$C$23:$G$23</c:f>
              <c:numCache/>
            </c:numRef>
          </c:val>
          <c:smooth val="0"/>
        </c:ser>
        <c:ser>
          <c:idx val="14"/>
          <c:order val="14"/>
          <c:tx>
            <c:strRef>
              <c:f>'Majors - Grad'!$B$24</c:f>
              <c:strCache>
                <c:ptCount val="1"/>
                <c:pt idx="0">
                  <c:v>Computer Science</c:v>
                </c:pt>
              </c:strCache>
            </c:strRef>
          </c:tx>
          <c:spPr>
            <a:ln w="28575" cap="rnd">
              <a:solidFill>
                <a:schemeClr val="accent3">
                  <a:lumMod val="80000"/>
                  <a:lumOff val="2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Grad'!$C$8:$G$8</c:f>
              <c:strCache/>
            </c:strRef>
          </c:cat>
          <c:val>
            <c:numRef>
              <c:f>'Majors - Grad'!$C$24:$G$24</c:f>
              <c:numCache/>
            </c:numRef>
          </c:val>
          <c:smooth val="0"/>
        </c:ser>
        <c:ser>
          <c:idx val="15"/>
          <c:order val="15"/>
          <c:tx>
            <c:strRef>
              <c:f>'Majors - Grad'!$B$25</c:f>
              <c:strCache>
                <c:ptCount val="1"/>
                <c:pt idx="0">
                  <c:v>English</c:v>
                </c:pt>
              </c:strCache>
            </c:strRef>
          </c:tx>
          <c:spPr>
            <a:ln w="28575" cap="rnd">
              <a:solidFill>
                <a:schemeClr val="accent4">
                  <a:lumMod val="80000"/>
                  <a:lumOff val="2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Grad'!$C$8:$G$8</c:f>
              <c:strCache/>
            </c:strRef>
          </c:cat>
          <c:val>
            <c:numRef>
              <c:f>'Majors - Grad'!$C$25:$G$25</c:f>
              <c:numCache/>
            </c:numRef>
          </c:val>
          <c:smooth val="0"/>
        </c:ser>
        <c:ser>
          <c:idx val="16"/>
          <c:order val="16"/>
          <c:tx>
            <c:strRef>
              <c:f>'Majors - Grad'!$B$26</c:f>
              <c:strCache>
                <c:ptCount val="1"/>
                <c:pt idx="0">
                  <c:v>Counselor Education</c:v>
                </c:pt>
              </c:strCache>
            </c:strRef>
          </c:tx>
          <c:spPr>
            <a:ln w="28575" cap="rnd">
              <a:solidFill>
                <a:schemeClr val="accent5">
                  <a:lumMod val="80000"/>
                  <a:lumOff val="2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Grad'!$C$8:$G$8</c:f>
              <c:strCache/>
            </c:strRef>
          </c:cat>
          <c:val>
            <c:numRef>
              <c:f>'Majors - Grad'!$C$26:$G$26</c:f>
              <c:numCache/>
            </c:numRef>
          </c:val>
          <c:smooth val="0"/>
        </c:ser>
        <c:ser>
          <c:idx val="17"/>
          <c:order val="17"/>
          <c:tx>
            <c:strRef>
              <c:f>'Majors - Grad'!$B$27</c:f>
              <c:strCache>
                <c:ptCount val="1"/>
                <c:pt idx="0">
                  <c:v>Urban and Regional Planning</c:v>
                </c:pt>
              </c:strCache>
            </c:strRef>
          </c:tx>
          <c:spPr>
            <a:ln w="28575" cap="rnd">
              <a:solidFill>
                <a:schemeClr val="accent6">
                  <a:lumMod val="80000"/>
                  <a:lumOff val="2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Grad'!$C$8:$G$8</c:f>
              <c:strCache/>
            </c:strRef>
          </c:cat>
          <c:val>
            <c:numRef>
              <c:f>'Majors - Grad'!$C$27:$G$27</c:f>
              <c:numCache/>
            </c:numRef>
          </c:val>
          <c:smooth val="0"/>
        </c:ser>
        <c:ser>
          <c:idx val="18"/>
          <c:order val="18"/>
          <c:tx>
            <c:strRef>
              <c:f>'Majors - Grad'!$B$28</c:f>
              <c:strCache>
                <c:ptCount val="1"/>
                <c:pt idx="0">
                  <c:v>Critical GIS and Public Anthro</c:v>
                </c:pt>
              </c:strCache>
            </c:strRef>
          </c:tx>
          <c:spPr>
            <a:ln w="28575" cap="rnd">
              <a:solidFill>
                <a:schemeClr val="accent1">
                  <a:lumMod val="8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Grad'!$C$8:$G$8</c:f>
              <c:strCache/>
            </c:strRef>
          </c:cat>
          <c:val>
            <c:numRef>
              <c:f>'Majors - Grad'!$C$28:$G$28</c:f>
              <c:numCache/>
            </c:numRef>
          </c:val>
          <c:smooth val="0"/>
        </c:ser>
        <c:ser>
          <c:idx val="19"/>
          <c:order val="19"/>
          <c:tx>
            <c:strRef>
              <c:f>'Majors - Grad'!$B$29</c:f>
              <c:strCache>
                <c:ptCount val="1"/>
                <c:pt idx="0">
                  <c:v>History</c:v>
                </c:pt>
              </c:strCache>
            </c:strRef>
          </c:tx>
          <c:spPr>
            <a:ln w="28575" cap="rnd">
              <a:solidFill>
                <a:schemeClr val="accent2">
                  <a:lumMod val="8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Grad'!$C$8:$G$8</c:f>
              <c:strCache/>
            </c:strRef>
          </c:cat>
          <c:val>
            <c:numRef>
              <c:f>'Majors - Grad'!$C$29:$G$29</c:f>
              <c:numCache/>
            </c:numRef>
          </c:val>
          <c:smooth val="0"/>
        </c:ser>
        <c:ser>
          <c:idx val="20"/>
          <c:order val="20"/>
          <c:tx>
            <c:strRef>
              <c:f>'Majors - Grad'!$B$30</c:f>
              <c:strCache>
                <c:ptCount val="1"/>
                <c:pt idx="0">
                  <c:v>Psychology</c:v>
                </c:pt>
              </c:strCache>
            </c:strRef>
          </c:tx>
          <c:spPr>
            <a:ln w="28575" cap="rnd">
              <a:solidFill>
                <a:schemeClr val="accent3">
                  <a:lumMod val="8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Grad'!$C$8:$G$8</c:f>
              <c:strCache/>
            </c:strRef>
          </c:cat>
          <c:val>
            <c:numRef>
              <c:f>'Majors - Grad'!$C$30:$G$30</c:f>
              <c:numCache/>
            </c:numRef>
          </c:val>
          <c:smooth val="0"/>
        </c:ser>
        <c:ser>
          <c:idx val="21"/>
          <c:order val="21"/>
          <c:tx>
            <c:strRef>
              <c:f>'Majors - Grad'!$B$31</c:f>
              <c:strCache>
                <c:ptCount val="1"/>
                <c:pt idx="0">
                  <c:v>Music</c:v>
                </c:pt>
              </c:strCache>
            </c:strRef>
          </c:tx>
          <c:spPr>
            <a:ln w="28575" cap="rnd">
              <a:solidFill>
                <a:schemeClr val="accent4">
                  <a:lumMod val="8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Grad'!$C$8:$G$8</c:f>
              <c:strCache/>
            </c:strRef>
          </c:cat>
          <c:val>
            <c:numRef>
              <c:f>'Majors - Grad'!$C$31:$G$31</c:f>
              <c:numCache/>
            </c:numRef>
          </c:val>
          <c:smooth val="0"/>
        </c:ser>
        <c:ser>
          <c:idx val="22"/>
          <c:order val="22"/>
          <c:tx>
            <c:strRef>
              <c:f>'Majors - Grad'!$B$32</c:f>
              <c:strCache>
                <c:ptCount val="1"/>
                <c:pt idx="0">
                  <c:v>Athletic Training</c:v>
                </c:pt>
              </c:strCache>
            </c:strRef>
          </c:tx>
          <c:spPr>
            <a:ln w="28575" cap="rnd">
              <a:solidFill>
                <a:schemeClr val="accent5">
                  <a:lumMod val="8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Grad'!$C$8:$G$8</c:f>
              <c:strCache/>
            </c:strRef>
          </c:cat>
          <c:val>
            <c:numRef>
              <c:f>'Majors - Grad'!$C$32:$G$32</c:f>
              <c:numCache/>
            </c:numRef>
          </c:val>
          <c:smooth val="0"/>
        </c:ser>
        <c:ser>
          <c:idx val="23"/>
          <c:order val="23"/>
          <c:tx>
            <c:strRef>
              <c:f>'Majors - Grad'!$B$33</c:f>
              <c:strCache>
                <c:ptCount val="1"/>
                <c:pt idx="0">
                  <c:v>Dental Hygiene</c:v>
                </c:pt>
              </c:strCache>
            </c:strRef>
          </c:tx>
          <c:spPr>
            <a:ln w="28575" cap="rnd">
              <a:solidFill>
                <a:schemeClr val="accent6">
                  <a:lumMod val="8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Grad'!$C$8:$G$8</c:f>
              <c:strCache/>
            </c:strRef>
          </c:cat>
          <c:val>
            <c:numRef>
              <c:f>'Majors - Grad'!$C$33:$G$33</c:f>
              <c:numCache/>
            </c:numRef>
          </c:val>
          <c:smooth val="0"/>
        </c:ser>
        <c:ser>
          <c:idx val="24"/>
          <c:order val="24"/>
          <c:tx>
            <c:strRef>
              <c:f>'Majors - Grad'!$B$34</c:f>
              <c:strCache>
                <c:ptCount val="1"/>
                <c:pt idx="0">
                  <c:v>Interdisciplinary Studies</c:v>
                </c:pt>
              </c:strCache>
            </c:strRef>
          </c:tx>
          <c:spPr>
            <a:ln w="28575" cap="rnd">
              <a:solidFill>
                <a:schemeClr val="accent1">
                  <a:lumMod val="60000"/>
                  <a:lumOff val="4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Grad'!$C$8:$G$8</c:f>
              <c:strCache/>
            </c:strRef>
          </c:cat>
          <c:val>
            <c:numRef>
              <c:f>'Majors - Grad'!$C$34:$G$34</c:f>
              <c:numCache/>
            </c:numRef>
          </c:val>
          <c:smooth val="0"/>
        </c:ser>
        <c:ser>
          <c:idx val="25"/>
          <c:order val="25"/>
          <c:tx>
            <c:strRef>
              <c:f>'Majors - Grad'!$B$35</c:f>
              <c:strCache>
                <c:ptCount val="1"/>
                <c:pt idx="0">
                  <c:v>Applied Mathematics</c:v>
                </c:pt>
              </c:strCache>
            </c:strRef>
          </c:tx>
          <c:spPr>
            <a:ln w="28575" cap="rnd">
              <a:solidFill>
                <a:schemeClr val="accent2">
                  <a:lumMod val="60000"/>
                  <a:lumOff val="4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Grad'!$C$8:$G$8</c:f>
              <c:strCache/>
            </c:strRef>
          </c:cat>
          <c:val>
            <c:numRef>
              <c:f>'Majors - Grad'!$C$35:$G$35</c:f>
              <c:numCache/>
            </c:numRef>
          </c:val>
          <c:smooth val="0"/>
        </c:ser>
        <c:ser>
          <c:idx val="26"/>
          <c:order val="26"/>
          <c:tx>
            <c:strRef>
              <c:f>'Majors - Grad'!$B$36</c:f>
              <c:strCache>
                <c:ptCount val="1"/>
                <c:pt idx="0">
                  <c:v>Interdisciplinary Studies</c:v>
                </c:pt>
              </c:strCache>
            </c:strRef>
          </c:tx>
          <c:spPr>
            <a:ln w="28575" cap="rnd">
              <a:solidFill>
                <a:schemeClr val="accent3">
                  <a:lumMod val="60000"/>
                  <a:lumOff val="4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Grad'!$C$8:$G$8</c:f>
              <c:strCache/>
            </c:strRef>
          </c:cat>
          <c:val>
            <c:numRef>
              <c:f>'Majors - Grad'!$C$36:$G$36</c:f>
              <c:numCache/>
            </c:numRef>
          </c:val>
          <c:smooth val="0"/>
        </c:ser>
        <c:ser>
          <c:idx val="27"/>
          <c:order val="27"/>
          <c:tx>
            <c:strRef>
              <c:f>'Majors - Grad'!$B$37</c:f>
              <c:strCache>
                <c:ptCount val="1"/>
                <c:pt idx="0">
                  <c:v>Addiction Studies</c:v>
                </c:pt>
              </c:strCache>
            </c:strRef>
          </c:tx>
          <c:spPr>
            <a:ln w="28575" cap="rnd">
              <a:solidFill>
                <a:schemeClr val="accent4">
                  <a:lumMod val="60000"/>
                  <a:lumOff val="4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Grad'!$C$8:$G$8</c:f>
              <c:strCache/>
            </c:strRef>
          </c:cat>
          <c:val>
            <c:numRef>
              <c:f>'Majors - Grad'!$C$37:$G$37</c:f>
              <c:numCache/>
            </c:numRef>
          </c:val>
          <c:smooth val="0"/>
        </c:ser>
        <c:ser>
          <c:idx val="28"/>
          <c:order val="28"/>
          <c:tx>
            <c:strRef>
              <c:f>'Majors - Grad'!$B$38</c:f>
              <c:strCache>
                <c:ptCount val="1"/>
                <c:pt idx="0">
                  <c:v>Literature</c:v>
                </c:pt>
              </c:strCache>
            </c:strRef>
          </c:tx>
          <c:spPr>
            <a:ln w="28575" cap="rnd">
              <a:solidFill>
                <a:schemeClr val="accent5">
                  <a:lumMod val="60000"/>
                  <a:lumOff val="4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Grad'!$C$8:$G$8</c:f>
              <c:strCache/>
            </c:strRef>
          </c:cat>
          <c:val>
            <c:numRef>
              <c:f>'Majors - Grad'!$C$38:$G$38</c:f>
              <c:numCache/>
            </c:numRef>
          </c:val>
          <c:smooth val="0"/>
        </c:ser>
        <c:ser>
          <c:idx val="29"/>
          <c:order val="29"/>
          <c:tx>
            <c:strRef>
              <c:f>'Majors - Grad'!$B$39</c:f>
              <c:strCache>
                <c:ptCount val="1"/>
                <c:pt idx="0">
                  <c:v>Music</c:v>
                </c:pt>
              </c:strCache>
            </c:strRef>
          </c:tx>
          <c:spPr>
            <a:ln w="28575" cap="rnd">
              <a:solidFill>
                <a:schemeClr val="accent6">
                  <a:lumMod val="60000"/>
                  <a:lumOff val="4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Grad'!$C$8:$G$8</c:f>
              <c:strCache/>
            </c:strRef>
          </c:cat>
          <c:val>
            <c:numRef>
              <c:f>'Majors - Grad'!$C$39:$G$39</c:f>
              <c:numCache/>
            </c:numRef>
          </c:val>
          <c:smooth val="0"/>
        </c:ser>
        <c:ser>
          <c:idx val="30"/>
          <c:order val="30"/>
          <c:tx>
            <c:strRef>
              <c:f>'Majors - Grad'!$B$40</c:f>
              <c:strCache>
                <c:ptCount val="1"/>
                <c:pt idx="0">
                  <c:v>Rhetoric &amp; Technical Comm</c:v>
                </c:pt>
              </c:strCache>
            </c:strRef>
          </c:tx>
          <c:spPr>
            <a:ln w="28575" cap="rnd">
              <a:solidFill>
                <a:schemeClr val="accent1">
                  <a:lumMod val="5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Grad'!$C$8:$G$8</c:f>
              <c:strCache/>
            </c:strRef>
          </c:cat>
          <c:val>
            <c:numRef>
              <c:f>'Majors - Grad'!$C$40:$G$40</c:f>
              <c:numCache/>
            </c:numRef>
          </c:val>
          <c:smooth val="0"/>
        </c:ser>
        <c:ser>
          <c:idx val="31"/>
          <c:order val="31"/>
          <c:tx>
            <c:strRef>
              <c:f>'Majors - Grad'!$B$41</c:f>
              <c:strCache>
                <c:ptCount val="1"/>
                <c:pt idx="0">
                  <c:v>Teach English as a Second Lang</c:v>
                </c:pt>
              </c:strCache>
            </c:strRef>
          </c:tx>
          <c:spPr>
            <a:ln w="28575" cap="rnd">
              <a:solidFill>
                <a:schemeClr val="accent2">
                  <a:lumMod val="5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Grad'!$C$8:$G$8</c:f>
              <c:strCache/>
            </c:strRef>
          </c:cat>
          <c:val>
            <c:numRef>
              <c:f>'Majors - Grad'!$C$41:$G$41</c:f>
              <c:numCache/>
            </c:numRef>
          </c:val>
          <c:smooth val="0"/>
        </c:ser>
        <c:ser>
          <c:idx val="32"/>
          <c:order val="32"/>
          <c:tx>
            <c:strRef>
              <c:f>'Majors - Grad'!$B$42</c:f>
              <c:strCache>
                <c:ptCount val="1"/>
                <c:pt idx="0">
                  <c:v>Adult Education</c:v>
                </c:pt>
              </c:strCache>
            </c:strRef>
          </c:tx>
          <c:spPr>
            <a:ln w="28575" cap="rnd">
              <a:solidFill>
                <a:schemeClr val="accent3">
                  <a:lumMod val="5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Grad'!$C$8:$G$8</c:f>
              <c:strCache/>
            </c:strRef>
          </c:cat>
          <c:val>
            <c:numRef>
              <c:f>'Majors - Grad'!$C$42:$G$42</c:f>
              <c:numCache/>
            </c:numRef>
          </c:val>
          <c:smooth val="0"/>
        </c:ser>
        <c:ser>
          <c:idx val="33"/>
          <c:order val="33"/>
          <c:tx>
            <c:strRef>
              <c:f>'Majors - Grad'!$B$43</c:f>
              <c:strCache>
                <c:ptCount val="1"/>
                <c:pt idx="0">
                  <c:v>Curriculum and Instruction</c:v>
                </c:pt>
              </c:strCache>
            </c:strRef>
          </c:tx>
          <c:spPr>
            <a:ln w="28575" cap="rnd">
              <a:solidFill>
                <a:schemeClr val="accent4">
                  <a:lumMod val="5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Grad'!$C$8:$G$8</c:f>
              <c:strCache/>
            </c:strRef>
          </c:cat>
          <c:val>
            <c:numRef>
              <c:f>'Majors - Grad'!$C$43:$G$43</c:f>
              <c:numCache/>
            </c:numRef>
          </c:val>
          <c:smooth val="0"/>
        </c:ser>
        <c:ser>
          <c:idx val="34"/>
          <c:order val="34"/>
          <c:tx>
            <c:strRef>
              <c:f>'Majors - Grad'!$B$44</c:f>
              <c:strCache>
                <c:ptCount val="1"/>
                <c:pt idx="0">
                  <c:v>French Education</c:v>
                </c:pt>
              </c:strCache>
            </c:strRef>
          </c:tx>
          <c:spPr>
            <a:ln w="28575" cap="rnd">
              <a:solidFill>
                <a:schemeClr val="accent5">
                  <a:lumMod val="5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Grad'!$C$8:$G$8</c:f>
              <c:strCache/>
            </c:strRef>
          </c:cat>
          <c:val>
            <c:numRef>
              <c:f>'Majors - Grad'!$C$44:$G$44</c:f>
              <c:numCache/>
            </c:numRef>
          </c:val>
          <c:smooth val="0"/>
        </c:ser>
        <c:ser>
          <c:idx val="35"/>
          <c:order val="35"/>
          <c:tx>
            <c:strRef>
              <c:f>'Majors - Grad'!$B$45</c:f>
              <c:strCache>
                <c:ptCount val="1"/>
                <c:pt idx="0">
                  <c:v>Instructional Media &amp; Tech</c:v>
                </c:pt>
              </c:strCache>
            </c:strRef>
          </c:tx>
          <c:spPr>
            <a:ln w="28575" cap="rnd">
              <a:solidFill>
                <a:schemeClr val="accent6">
                  <a:lumMod val="5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Grad'!$C$8:$G$8</c:f>
              <c:strCache/>
            </c:strRef>
          </c:cat>
          <c:val>
            <c:numRef>
              <c:f>'Majors - Grad'!$C$45:$G$45</c:f>
              <c:numCache/>
            </c:numRef>
          </c:val>
          <c:smooth val="0"/>
        </c:ser>
        <c:ser>
          <c:idx val="36"/>
          <c:order val="36"/>
          <c:tx>
            <c:strRef>
              <c:f>'Majors - Grad'!$B$46</c:f>
              <c:strCache>
                <c:ptCount val="1"/>
                <c:pt idx="0">
                  <c:v>Teaching K-8</c:v>
                </c:pt>
              </c:strCache>
            </c:strRef>
          </c:tx>
          <c:spPr>
            <a:ln w="28575" cap="rnd">
              <a:solidFill>
                <a:schemeClr val="accent1">
                  <a:lumMod val="70000"/>
                  <a:lumOff val="3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Grad'!$C$8:$G$8</c:f>
              <c:strCache/>
            </c:strRef>
          </c:cat>
          <c:val>
            <c:numRef>
              <c:f>'Majors - Grad'!$C$46:$G$46</c:f>
              <c:numCache/>
            </c:numRef>
          </c:val>
          <c:smooth val="0"/>
        </c:ser>
        <c:ser>
          <c:idx val="37"/>
          <c:order val="37"/>
          <c:tx>
            <c:strRef>
              <c:f>'Majors - Grad'!$B$47</c:f>
              <c:strCache>
                <c:ptCount val="1"/>
                <c:pt idx="0">
                  <c:v>Applied Psychology</c:v>
                </c:pt>
              </c:strCache>
            </c:strRef>
          </c:tx>
          <c:spPr>
            <a:ln w="28575" cap="rnd">
              <a:solidFill>
                <a:schemeClr val="accent2">
                  <a:lumMod val="70000"/>
                  <a:lumOff val="3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'Majors - Grad'!$C$8:$G$8</c:f>
              <c:strCache/>
            </c:strRef>
          </c:cat>
          <c:val>
            <c:numRef>
              <c:f>'Majors - Grad'!$C$47:$G$47</c:f>
              <c:numCache/>
            </c:numRef>
          </c:val>
          <c:smooth val="0"/>
        </c:ser>
        <c:axId val="59813394"/>
        <c:axId val="1449635"/>
      </c:lineChart>
      <c:catAx>
        <c:axId val="59813394"/>
        <c:scaling>
          <c:orientation val="minMax"/>
        </c:scaling>
        <c:axPos val="b"/>
        <c:title>
          <c:tx>
            <c:rich>
              <a:bodyPr vert="horz" rot="0" anchor="ctr"/>
              <a:lstStyle/>
              <a:p>
                <a:pPr algn="ctr">
                  <a:defRPr/>
                </a:pPr>
                <a:r>
                  <a:rPr lang="en-US" cap="none" sz="1000" b="0" i="0" u="none" baseline="0">
                    <a:solidFill>
                      <a:schemeClr val="tx1">
                        <a:lumMod val="65000"/>
                        <a:lumOff val="35000"/>
                      </a:schemeClr>
                    </a:solidFill>
                    <a:latin typeface="+mn-lt"/>
                    <a:ea typeface="Verdana"/>
                    <a:cs typeface="Verdana"/>
                  </a:rPr>
                  <a:t>Academic Year</a:t>
                </a:r>
              </a:p>
            </c:rich>
          </c:tx>
          <c:layout/>
          <c:overlay val="0"/>
          <c:spPr>
            <a:noFill/>
            <a:ln>
              <a:noFill/>
            </a:ln>
          </c:spPr>
        </c:title>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449635"/>
        <c:crosses val="autoZero"/>
        <c:auto val="1"/>
        <c:lblOffset val="100"/>
        <c:noMultiLvlLbl val="0"/>
      </c:catAx>
      <c:valAx>
        <c:axId val="1449635"/>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Verdana"/>
                    <a:cs typeface="Verdana"/>
                  </a:rPr>
                  <a:t>Graduate</a:t>
                </a:r>
                <a:r>
                  <a:rPr lang="en-US" cap="none" sz="1000" b="0" i="0" u="none" baseline="0">
                    <a:solidFill>
                      <a:schemeClr val="tx1">
                        <a:lumMod val="65000"/>
                        <a:lumOff val="35000"/>
                      </a:schemeClr>
                    </a:solidFill>
                    <a:latin typeface="+mn-lt"/>
                    <a:ea typeface="Verdana"/>
                    <a:cs typeface="Verdana"/>
                  </a:rPr>
                  <a:t> Students</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9813394"/>
        <c:crosses val="autoZero"/>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123825</xdr:colOff>
      <xdr:row>3</xdr:row>
      <xdr:rowOff>0</xdr:rowOff>
    </xdr:from>
    <xdr:to>
      <xdr:col>20</xdr:col>
      <xdr:colOff>428625</xdr:colOff>
      <xdr:row>17</xdr:row>
      <xdr:rowOff>180975</xdr:rowOff>
    </xdr:to>
    <xdr:graphicFrame macro="">
      <xdr:nvGraphicFramePr>
        <xdr:cNvPr id="2" name="Chart 1"/>
        <xdr:cNvGraphicFramePr/>
      </xdr:nvGraphicFramePr>
      <xdr:xfrm>
        <a:off x="15420975" y="428625"/>
        <a:ext cx="5038725" cy="27241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95250</xdr:colOff>
      <xdr:row>2</xdr:row>
      <xdr:rowOff>85725</xdr:rowOff>
    </xdr:from>
    <xdr:to>
      <xdr:col>18</xdr:col>
      <xdr:colOff>323850</xdr:colOff>
      <xdr:row>18</xdr:row>
      <xdr:rowOff>57150</xdr:rowOff>
    </xdr:to>
    <xdr:graphicFrame macro="">
      <xdr:nvGraphicFramePr>
        <xdr:cNvPr id="2" name="Chart 1"/>
        <xdr:cNvGraphicFramePr/>
      </xdr:nvGraphicFramePr>
      <xdr:xfrm>
        <a:off x="9648825" y="371475"/>
        <a:ext cx="4962525" cy="2876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swinslow\AppData\Local\Microsoft\Windows\INetCache\Content.Outlook\BGVB5UKT\FY21%20CBL%20Feb%2020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cademicAffairs\AAKeyDocuments\Budget%20Officer\APS\Health%20Checks\Faculty%20Counts\Engineering%20Cost%20Breakou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BLA Source Data Feb 2020"/>
      <sheetName val="Academic Dept Faculty and Staff"/>
      <sheetName val="Sheet5"/>
      <sheetName val="FTVORGN"/>
    </sheetNames>
    <sheetDataSet>
      <sheetData sheetId="0"/>
      <sheetData sheetId="1">
        <row r="4">
          <cell r="O4">
            <v>2</v>
          </cell>
        </row>
        <row r="8">
          <cell r="O8">
            <v>3</v>
          </cell>
        </row>
        <row r="10">
          <cell r="O10">
            <v>1</v>
          </cell>
        </row>
        <row r="12">
          <cell r="O12">
            <v>1</v>
          </cell>
        </row>
        <row r="17">
          <cell r="O17">
            <v>4</v>
          </cell>
        </row>
        <row r="21">
          <cell r="O21">
            <v>3</v>
          </cell>
        </row>
        <row r="45">
          <cell r="O45">
            <v>1</v>
          </cell>
        </row>
        <row r="47">
          <cell r="O47">
            <v>1</v>
          </cell>
        </row>
        <row r="49">
          <cell r="O49">
            <v>1</v>
          </cell>
        </row>
        <row r="60">
          <cell r="O60">
            <v>1</v>
          </cell>
        </row>
      </sheetData>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Y17"/>
      <sheetName val="FY18"/>
      <sheetName val="FY19"/>
      <sheetName val="FY19B"/>
      <sheetName val="FY18B"/>
      <sheetName val="FY17B"/>
    </sheetNames>
    <sheetDataSet>
      <sheetData sheetId="0">
        <row r="122">
          <cell r="P122">
            <v>8178.340000000002</v>
          </cell>
          <cell r="Q122">
            <v>8178.340000000002</v>
          </cell>
          <cell r="R122">
            <v>16356.680000000004</v>
          </cell>
        </row>
        <row r="1238">
          <cell r="P1238">
            <v>490193.71</v>
          </cell>
          <cell r="Q1238">
            <v>881506.0799999998</v>
          </cell>
          <cell r="R1238">
            <v>1301923.8599999999</v>
          </cell>
        </row>
      </sheetData>
      <sheetData sheetId="1">
        <row r="148">
          <cell r="P148">
            <v>8973.387500000006</v>
          </cell>
          <cell r="Q148">
            <v>8973.387500000006</v>
          </cell>
          <cell r="R148">
            <v>17946.775000000012</v>
          </cell>
        </row>
        <row r="1486">
          <cell r="P1486">
            <v>475082.5600000001</v>
          </cell>
          <cell r="Q1486">
            <v>829795.3400000001</v>
          </cell>
          <cell r="R1486">
            <v>1558432.5999999999</v>
          </cell>
        </row>
      </sheetData>
      <sheetData sheetId="2">
        <row r="147">
          <cell r="P147">
            <v>9315.615000000003</v>
          </cell>
          <cell r="Q147">
            <v>9315.615000000003</v>
          </cell>
          <cell r="R147">
            <v>18631.230000000007</v>
          </cell>
        </row>
        <row r="1603">
          <cell r="P1603">
            <v>563890.5875</v>
          </cell>
          <cell r="Q1603">
            <v>929806.8774999998</v>
          </cell>
          <cell r="R1603">
            <v>1604468.625</v>
          </cell>
        </row>
      </sheetData>
      <sheetData sheetId="3">
        <row r="7954">
          <cell r="Q7954">
            <v>175230.77749999997</v>
          </cell>
          <cell r="R7954">
            <v>256172.04750000004</v>
          </cell>
          <cell r="S7954">
            <v>458956.0949999998</v>
          </cell>
        </row>
      </sheetData>
      <sheetData sheetId="4">
        <row r="6452">
          <cell r="P6452">
            <v>162834.28</v>
          </cell>
          <cell r="Q6452">
            <v>232302.19999999987</v>
          </cell>
          <cell r="R6452">
            <v>447873.3999999998</v>
          </cell>
        </row>
      </sheetData>
      <sheetData sheetId="5">
        <row r="5597">
          <cell r="Q5597">
            <v>160424.02500000002</v>
          </cell>
          <cell r="R5597">
            <v>231430.78499999986</v>
          </cell>
          <cell r="S5597">
            <v>371694.3699999998</v>
          </cell>
        </row>
      </sheetData>
    </sheetDataSet>
  </externalBook>
</externalLink>
</file>

<file path=xl/theme/theme1.xml><?xml version="1.0" encoding="utf-8"?>
<a:theme xmlns:a="http://schemas.openxmlformats.org/drawingml/2006/main" name="EAB Theme">
  <a:themeElements>
    <a:clrScheme name="EAB Color Palette (2017)">
      <a:dk1>
        <a:srgbClr val="333E48"/>
      </a:dk1>
      <a:lt1>
        <a:sysClr val="window" lastClr="FFFFFF"/>
      </a:lt1>
      <a:dk2>
        <a:srgbClr val="F28B00"/>
      </a:dk2>
      <a:lt2>
        <a:srgbClr val="D6D8DA"/>
      </a:lt2>
      <a:accent1>
        <a:srgbClr val="C4C7CA"/>
      </a:accent1>
      <a:accent2>
        <a:srgbClr val="A0A4A9"/>
      </a:accent2>
      <a:accent3>
        <a:srgbClr val="666E76"/>
      </a:accent3>
      <a:accent4>
        <a:srgbClr val="333E48"/>
      </a:accent4>
      <a:accent5>
        <a:srgbClr val="004A88"/>
      </a:accent5>
      <a:accent6>
        <a:srgbClr val="0070CD"/>
      </a:accent6>
      <a:hlink>
        <a:srgbClr val="0070CD"/>
      </a:hlink>
      <a:folHlink>
        <a:srgbClr val="A0A4A9"/>
      </a:folHlink>
    </a:clrScheme>
    <a:fontScheme name="EAB Font Theme">
      <a:majorFont>
        <a:latin typeface="Rockwell"/>
        <a:ea typeface=""/>
        <a:cs typeface=""/>
      </a:majorFont>
      <a:minorFont>
        <a:latin typeface="Verdan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gray">
        <a:solidFill>
          <a:schemeClr val="accent3"/>
        </a:solidFill>
        <a:ln w="12700">
          <a:solidFill>
            <a:schemeClr val="accent3"/>
          </a:solidFill>
          <a:miter lim="800000"/>
        </a:ln>
      </a:spPr>
      <a:bodyPr rot="0" spcFirstLastPara="0" vert="horz" wrap="square" lIns="91440" tIns="45720" rIns="91440" bIns="45720" numCol="1" spcCol="0" rtlCol="0" fromWordArt="0" anchor="t" anchorCtr="0" forceAA="0" compatLnSpc="1">
        <a:prstTxWarp prst="textNoShape">
          <a:avLst/>
        </a:prstTxWarp>
        <a:noAutofit/>
      </a:bodyPr>
      <a:lstStyle>
        <a:defPPr algn="ctr">
          <a:spcBef>
            <a:spcPts val="500"/>
          </a:spcBef>
          <a:defRPr sz="1000" dirty="0" err="1" smtClean="0">
            <a:solidFill>
              <a:schemeClr val="bg1"/>
            </a:solidFill>
          </a:defRPr>
        </a:defPPr>
      </a:lstStyle>
      <a:style>
        <a:lnRef idx="2">
          <a:schemeClr val="accent1">
            <a:shade val="50000"/>
          </a:schemeClr>
        </a:lnRef>
        <a:fillRef idx="1">
          <a:schemeClr val="accent1"/>
        </a:fillRef>
        <a:effectRef idx="0">
          <a:schemeClr val="accent1"/>
        </a:effectRef>
        <a:fontRef idx="minor">
          <a:schemeClr val="lt1"/>
        </a:fontRef>
      </a:style>
    </a:spDef>
    <a:lnDef>
      <a:spPr bwMode="gray">
        <a:ln w="12700">
          <a:solidFill>
            <a:schemeClr val="accent3"/>
          </a:solidFill>
          <a:miter lim="800000"/>
          <a:headEnd type="none"/>
          <a:tailEnd type="none"/>
        </a:ln>
      </a:spPr>
      <a:bodyPr/>
      <a:lstStyle/>
      <a:style>
        <a:lnRef idx="1">
          <a:schemeClr val="accent1"/>
        </a:lnRef>
        <a:fillRef idx="0">
          <a:schemeClr val="accent1"/>
        </a:fillRef>
        <a:effectRef idx="0">
          <a:schemeClr val="accent1"/>
        </a:effectRef>
        <a:fontRef idx="minor">
          <a:schemeClr val="tx1"/>
        </a:fontRef>
      </a:style>
    </a:lnDef>
    <a:txDef>
      <a:spPr bwMode="gray">
        <a:noFill/>
      </a:spPr>
      <a:bodyPr wrap="square" lIns="0" tIns="0" rIns="0" bIns="0" rtlCol="0">
        <a:spAutoFit/>
      </a:bodyPr>
      <a:lstStyle>
        <a:defPPr>
          <a:spcBef>
            <a:spcPts val="500"/>
          </a:spcBef>
          <a:defRPr sz="900" dirty="0" smtClean="0"/>
        </a:defPPr>
      </a:lstStyle>
    </a:txDef>
  </a:objectDefaults>
  <a:extraClrSchemeLst/>
  <a:custClrLst>
    <a:custClr name="Dark Background">
      <a:srgbClr val="003D70"/>
    </a:custClr>
    <a:custClr name="Red">
      <a:srgbClr val="CF102D"/>
    </a:custClr>
    <a:custClr name="Yellow">
      <a:srgbClr val="F6D900"/>
    </a:custClr>
    <a:custClr name="Green">
      <a:srgbClr val="7FCB3B"/>
    </a:custClr>
    <a:custClr name="Purple">
      <a:srgbClr val="8B4BB3"/>
    </a:custClr>
    <a:custClr name="Light Blue">
      <a:srgbClr val="23B1F1"/>
    </a:custClr>
    <a:custClr name="Teal">
      <a:srgbClr val="35BDCB"/>
    </a:custClr>
    <a:custClr name="Not Used">
      <a:srgbClr val="FFFFFF"/>
    </a:custClr>
    <a:custClr name="Not Used">
      <a:srgbClr val="FFFFFF"/>
    </a:custClr>
    <a:custClr name="Not Used">
      <a:srgbClr val="FFFFFF"/>
    </a:custClr>
    <a:custClr name="Not Used">
      <a:srgbClr val="FFFFFF"/>
    </a:custClr>
    <a:custClr name="Red Tint">
      <a:srgbClr val="F47A74"/>
    </a:custClr>
    <a:custClr name="Yellow Tint">
      <a:srgbClr val="FFEE6D"/>
    </a:custClr>
    <a:custClr name="Green Tint">
      <a:srgbClr val="B0DF85"/>
    </a:custClr>
    <a:custClr name="Purple Tint">
      <a:srgbClr val="BD98D4"/>
    </a:custClr>
    <a:custClr name="Light Blue Tint">
      <a:srgbClr val="92D8F8"/>
    </a:custClr>
    <a:custClr name="Teal Tint">
      <a:srgbClr val="91DBE3"/>
    </a:custClr>
    <a:custClr name="Not Used">
      <a:srgbClr val="FFFFFF"/>
    </a:custClr>
    <a:custClr name="Not Used">
      <a:srgbClr val="FFFFFF"/>
    </a:custClr>
    <a:custClr name="Not Used">
      <a:srgbClr val="FFFFFF"/>
    </a:custClr>
  </a:custClrLst>
  <a:extLst>
    <a:ext uri="{05A4C25C-085E-4340-85A3-A5531E510DB2}">
      <thm15:themeFamily xmlns:thm15="http://schemas.microsoft.com/office/thememl/2012/main" name="EAB Theme" id="{1C12E30C-90BA-4157-A35B-C49ABFDBE824}" vid="{84FA26CE-DDE8-4193-B78E-AD4E277FC3CE}"/>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2.vml" /><Relationship Id="rId3"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3.vml" /><Relationship Id="rId3"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4.vml" /><Relationship Id="rId3"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5.vml" /><Relationship Id="rId3"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6.vml" /><Relationship Id="rId3" Type="http://schemas.openxmlformats.org/officeDocument/2006/relationships/printerSettings" Target="../printerSettings/printerSettings19.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7.vml" /><Relationship Id="rId3" Type="http://schemas.openxmlformats.org/officeDocument/2006/relationships/printerSettings" Target="../printerSettings/printerSettings20.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18.vml" /><Relationship Id="rId3" Type="http://schemas.openxmlformats.org/officeDocument/2006/relationships/printerSettings" Target="../printerSettings/printerSettings21.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19.vml" /><Relationship Id="rId3" Type="http://schemas.openxmlformats.org/officeDocument/2006/relationships/printerSettings" Target="../printerSettings/printerSettings22.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20.vml" /><Relationship Id="rId3" Type="http://schemas.openxmlformats.org/officeDocument/2006/relationships/printerSettings" Target="../printerSettings/printerSettings23.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21.vml" /><Relationship Id="rId3" Type="http://schemas.openxmlformats.org/officeDocument/2006/relationships/printerSettings" Target="../printerSettings/printerSettings24.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22.vml" /><Relationship Id="rId3"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23.vml" /><Relationship Id="rId3" Type="http://schemas.openxmlformats.org/officeDocument/2006/relationships/printerSettings" Target="../printerSettings/printerSettings26.bin" /></Relationships>
</file>

<file path=xl/worksheets/_rels/sheet31.xml.rels><?xml version="1.0" encoding="utf-8" standalone="yes"?><Relationships xmlns="http://schemas.openxmlformats.org/package/2006/relationships"><Relationship Id="rId1" Type="http://schemas.openxmlformats.org/officeDocument/2006/relationships/comments" Target="../comments31.xml" /><Relationship Id="rId2" Type="http://schemas.openxmlformats.org/officeDocument/2006/relationships/vmlDrawing" Target="../drawings/vmlDrawing24.vml" /><Relationship Id="rId3" Type="http://schemas.openxmlformats.org/officeDocument/2006/relationships/printerSettings" Target="../printerSettings/printerSettings27.bin" /></Relationships>
</file>

<file path=xl/worksheets/_rels/sheet32.xml.rels><?xml version="1.0" encoding="utf-8" standalone="yes"?><Relationships xmlns="http://schemas.openxmlformats.org/package/2006/relationships"><Relationship Id="rId1" Type="http://schemas.openxmlformats.org/officeDocument/2006/relationships/comments" Target="../comments32.xml" /><Relationship Id="rId2" Type="http://schemas.openxmlformats.org/officeDocument/2006/relationships/vmlDrawing" Target="../drawings/vmlDrawing25.vml" /><Relationship Id="rId3" Type="http://schemas.openxmlformats.org/officeDocument/2006/relationships/printerSettings" Target="../printerSettings/printerSettings28.bin" /></Relationships>
</file>

<file path=xl/worksheets/_rels/sheet33.xml.rels><?xml version="1.0" encoding="utf-8" standalone="yes"?><Relationships xmlns="http://schemas.openxmlformats.org/package/2006/relationships"><Relationship Id="rId1" Type="http://schemas.openxmlformats.org/officeDocument/2006/relationships/comments" Target="../comments33.xml" /><Relationship Id="rId2" Type="http://schemas.openxmlformats.org/officeDocument/2006/relationships/vmlDrawing" Target="../drawings/vmlDrawing26.vml" /><Relationship Id="rId3" Type="http://schemas.openxmlformats.org/officeDocument/2006/relationships/printerSettings" Target="../printerSettings/printerSettings29.bin" /></Relationships>
</file>

<file path=xl/worksheets/_rels/sheet34.xml.rels><?xml version="1.0" encoding="utf-8" standalone="yes"?><Relationships xmlns="http://schemas.openxmlformats.org/package/2006/relationships"><Relationship Id="rId1" Type="http://schemas.openxmlformats.org/officeDocument/2006/relationships/comments" Target="../comments34.xml" /><Relationship Id="rId2" Type="http://schemas.openxmlformats.org/officeDocument/2006/relationships/vmlDrawing" Target="../drawings/vmlDrawing27.vml" /><Relationship Id="rId3" Type="http://schemas.openxmlformats.org/officeDocument/2006/relationships/printerSettings" Target="../printerSettings/printerSettings30.bin" /></Relationships>
</file>

<file path=xl/worksheets/_rels/sheet35.xml.rels><?xml version="1.0" encoding="utf-8" standalone="yes"?><Relationships xmlns="http://schemas.openxmlformats.org/package/2006/relationships"><Relationship Id="rId1" Type="http://schemas.openxmlformats.org/officeDocument/2006/relationships/comments" Target="../comments35.xml" /><Relationship Id="rId2" Type="http://schemas.openxmlformats.org/officeDocument/2006/relationships/vmlDrawing" Target="../drawings/vmlDrawing28.vml" /><Relationship Id="rId3" Type="http://schemas.openxmlformats.org/officeDocument/2006/relationships/printerSettings" Target="../printerSettings/printerSettings31.bin" /></Relationships>
</file>

<file path=xl/worksheets/_rels/sheet36.xml.rels><?xml version="1.0" encoding="utf-8" standalone="yes"?><Relationships xmlns="http://schemas.openxmlformats.org/package/2006/relationships"><Relationship Id="rId1" Type="http://schemas.openxmlformats.org/officeDocument/2006/relationships/comments" Target="../comments36.xml" /><Relationship Id="rId2" Type="http://schemas.openxmlformats.org/officeDocument/2006/relationships/vmlDrawing" Target="../drawings/vmlDrawing29.vml" /><Relationship Id="rId3" Type="http://schemas.openxmlformats.org/officeDocument/2006/relationships/printerSettings" Target="../printerSettings/printerSettings32.bin" /></Relationships>
</file>

<file path=xl/worksheets/_rels/sheet37.xml.rels><?xml version="1.0" encoding="utf-8" standalone="yes"?><Relationships xmlns="http://schemas.openxmlformats.org/package/2006/relationships"><Relationship Id="rId1" Type="http://schemas.openxmlformats.org/officeDocument/2006/relationships/comments" Target="../comments37.xml" /><Relationship Id="rId2" Type="http://schemas.openxmlformats.org/officeDocument/2006/relationships/vmlDrawing" Target="../drawings/vmlDrawing30.vml" /><Relationship Id="rId3" Type="http://schemas.openxmlformats.org/officeDocument/2006/relationships/printerSettings" Target="../printerSettings/printerSettings33.bin" /></Relationships>
</file>

<file path=xl/worksheets/_rels/sheet38.xml.rels><?xml version="1.0" encoding="utf-8" standalone="yes"?><Relationships xmlns="http://schemas.openxmlformats.org/package/2006/relationships"><Relationship Id="rId1" Type="http://schemas.openxmlformats.org/officeDocument/2006/relationships/comments" Target="../comments38.xml" /><Relationship Id="rId2" Type="http://schemas.openxmlformats.org/officeDocument/2006/relationships/vmlDrawing" Target="../drawings/vmlDrawing31.vml" /><Relationship Id="rId3" Type="http://schemas.openxmlformats.org/officeDocument/2006/relationships/printerSettings" Target="../printerSettings/printerSettings34.bin" /></Relationships>
</file>

<file path=xl/worksheets/_rels/sheet39.xml.rels><?xml version="1.0" encoding="utf-8" standalone="yes"?><Relationships xmlns="http://schemas.openxmlformats.org/package/2006/relationships"><Relationship Id="rId1" Type="http://schemas.openxmlformats.org/officeDocument/2006/relationships/comments" Target="../comments39.xml" /><Relationship Id="rId2" Type="http://schemas.openxmlformats.org/officeDocument/2006/relationships/vmlDrawing" Target="../drawings/vmlDrawing32.vml" /><Relationship Id="rId3" Type="http://schemas.openxmlformats.org/officeDocument/2006/relationships/printerSettings" Target="../printerSettings/printerSettings35.bin" /></Relationships>
</file>

<file path=xl/worksheets/_rels/sheet40.xml.rels><?xml version="1.0" encoding="utf-8" standalone="yes"?><Relationships xmlns="http://schemas.openxmlformats.org/package/2006/relationships"><Relationship Id="rId1" Type="http://schemas.openxmlformats.org/officeDocument/2006/relationships/comments" Target="../comments40.xml" /><Relationship Id="rId2" Type="http://schemas.openxmlformats.org/officeDocument/2006/relationships/vmlDrawing" Target="../drawings/vmlDrawing33.vml" /><Relationship Id="rId3" Type="http://schemas.openxmlformats.org/officeDocument/2006/relationships/printerSettings" Target="../printerSettings/printerSettings36.bin" /></Relationships>
</file>

<file path=xl/worksheets/_rels/sheet41.xml.rels><?xml version="1.0" encoding="utf-8" standalone="yes"?><Relationships xmlns="http://schemas.openxmlformats.org/package/2006/relationships"><Relationship Id="rId1" Type="http://schemas.openxmlformats.org/officeDocument/2006/relationships/comments" Target="../comments41.xml" /><Relationship Id="rId2" Type="http://schemas.openxmlformats.org/officeDocument/2006/relationships/vmlDrawing" Target="../drawings/vmlDrawing34.vml" /><Relationship Id="rId3" Type="http://schemas.openxmlformats.org/officeDocument/2006/relationships/printerSettings" Target="../printerSettings/printerSettings37.bin" /></Relationships>
</file>

<file path=xl/worksheets/_rels/sheet42.xml.rels><?xml version="1.0" encoding="utf-8" standalone="yes"?><Relationships xmlns="http://schemas.openxmlformats.org/package/2006/relationships"><Relationship Id="rId1" Type="http://schemas.openxmlformats.org/officeDocument/2006/relationships/comments" Target="../comments42.xml" /><Relationship Id="rId2" Type="http://schemas.openxmlformats.org/officeDocument/2006/relationships/vmlDrawing" Target="../drawings/vmlDrawing35.vml" /><Relationship Id="rId3" Type="http://schemas.openxmlformats.org/officeDocument/2006/relationships/printerSettings" Target="../printerSettings/printerSettings38.bin" /></Relationships>
</file>

<file path=xl/worksheets/_rels/sheet43.xml.rels><?xml version="1.0" encoding="utf-8" standalone="yes"?><Relationships xmlns="http://schemas.openxmlformats.org/package/2006/relationships"><Relationship Id="rId1" Type="http://schemas.openxmlformats.org/officeDocument/2006/relationships/comments" Target="../comments43.xml" /><Relationship Id="rId2" Type="http://schemas.openxmlformats.org/officeDocument/2006/relationships/vmlDrawing" Target="../drawings/vmlDrawing36.vml" /><Relationship Id="rId3" Type="http://schemas.openxmlformats.org/officeDocument/2006/relationships/printerSettings" Target="../printerSettings/printerSettings39.bin" /></Relationships>
</file>

<file path=xl/worksheets/_rels/sheet44.xml.rels><?xml version="1.0" encoding="utf-8" standalone="yes"?><Relationships xmlns="http://schemas.openxmlformats.org/package/2006/relationships"><Relationship Id="rId1" Type="http://schemas.openxmlformats.org/officeDocument/2006/relationships/comments" Target="../comments44.xml" /><Relationship Id="rId2" Type="http://schemas.openxmlformats.org/officeDocument/2006/relationships/vmlDrawing" Target="../drawings/vmlDrawing37.vml" /><Relationship Id="rId3" Type="http://schemas.openxmlformats.org/officeDocument/2006/relationships/printerSettings" Target="../printerSettings/printerSettings40.bin" /></Relationships>
</file>

<file path=xl/worksheets/_rels/sheet45.xml.rels><?xml version="1.0" encoding="utf-8" standalone="yes"?><Relationships xmlns="http://schemas.openxmlformats.org/package/2006/relationships"><Relationship Id="rId1" Type="http://schemas.openxmlformats.org/officeDocument/2006/relationships/comments" Target="../comments45.xml" /><Relationship Id="rId2" Type="http://schemas.openxmlformats.org/officeDocument/2006/relationships/vmlDrawing" Target="../drawings/vmlDrawing38.vml" /><Relationship Id="rId3" Type="http://schemas.openxmlformats.org/officeDocument/2006/relationships/printerSettings" Target="../printerSettings/printerSettings41.bin" /></Relationships>
</file>

<file path=xl/worksheets/_rels/sheet46.xml.rels><?xml version="1.0" encoding="utf-8" standalone="yes"?><Relationships xmlns="http://schemas.openxmlformats.org/package/2006/relationships"><Relationship Id="rId1" Type="http://schemas.openxmlformats.org/officeDocument/2006/relationships/comments" Target="../comments46.xml" /><Relationship Id="rId2" Type="http://schemas.openxmlformats.org/officeDocument/2006/relationships/vmlDrawing" Target="../drawings/vmlDrawing39.vml" /><Relationship Id="rId3" Type="http://schemas.openxmlformats.org/officeDocument/2006/relationships/printerSettings" Target="../printerSettings/printerSettings42.bin" /></Relationships>
</file>

<file path=xl/worksheets/_rels/sheet47.xml.rels><?xml version="1.0" encoding="utf-8" standalone="yes"?><Relationships xmlns="http://schemas.openxmlformats.org/package/2006/relationships"><Relationship Id="rId1" Type="http://schemas.openxmlformats.org/officeDocument/2006/relationships/comments" Target="../comments47.xml" /><Relationship Id="rId2" Type="http://schemas.openxmlformats.org/officeDocument/2006/relationships/vmlDrawing" Target="../drawings/vmlDrawing40.vml" /><Relationship Id="rId3" Type="http://schemas.openxmlformats.org/officeDocument/2006/relationships/printerSettings" Target="../printerSettings/printerSettings43.bin" /></Relationships>
</file>

<file path=xl/worksheets/_rels/sheet48.xml.rels><?xml version="1.0" encoding="utf-8" standalone="yes"?><Relationships xmlns="http://schemas.openxmlformats.org/package/2006/relationships"><Relationship Id="rId1" Type="http://schemas.openxmlformats.org/officeDocument/2006/relationships/comments" Target="../comments48.xml" /><Relationship Id="rId2" Type="http://schemas.openxmlformats.org/officeDocument/2006/relationships/vmlDrawing" Target="../drawings/vmlDrawing41.vml" /><Relationship Id="rId3" Type="http://schemas.openxmlformats.org/officeDocument/2006/relationships/printerSettings" Target="../printerSettings/printerSettings44.bin" /></Relationships>
</file>

<file path=xl/worksheets/_rels/sheet49.xml.rels><?xml version="1.0" encoding="utf-8" standalone="yes"?><Relationships xmlns="http://schemas.openxmlformats.org/package/2006/relationships"><Relationship Id="rId1" Type="http://schemas.openxmlformats.org/officeDocument/2006/relationships/comments" Target="../comments49.xml" /><Relationship Id="rId2" Type="http://schemas.openxmlformats.org/officeDocument/2006/relationships/vmlDrawing" Target="../drawings/vmlDrawing42.vml" /><Relationship Id="rId3" Type="http://schemas.openxmlformats.org/officeDocument/2006/relationships/printerSettings" Target="../printerSettings/printerSettings45.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0.xml.rels><?xml version="1.0" encoding="utf-8" standalone="yes"?><Relationships xmlns="http://schemas.openxmlformats.org/package/2006/relationships"><Relationship Id="rId1" Type="http://schemas.openxmlformats.org/officeDocument/2006/relationships/comments" Target="../comments50.xml" /><Relationship Id="rId2" Type="http://schemas.openxmlformats.org/officeDocument/2006/relationships/vmlDrawing" Target="../drawings/vmlDrawing43.vml" /><Relationship Id="rId3" Type="http://schemas.openxmlformats.org/officeDocument/2006/relationships/printerSettings" Target="../printerSettings/printerSettings46.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122"/>
  <sheetViews>
    <sheetView workbookViewId="0" topLeftCell="B40">
      <selection activeCell="G58" sqref="G58"/>
    </sheetView>
  </sheetViews>
  <sheetFormatPr defaultColWidth="9.00390625" defaultRowHeight="11.25"/>
  <cols>
    <col min="1" max="1" width="34.125" style="0" customWidth="1"/>
    <col min="2" max="2" width="15.00390625" style="0" customWidth="1"/>
    <col min="3" max="3" width="17.25390625" style="0" bestFit="1" customWidth="1"/>
    <col min="4" max="4" width="9.875" style="0" bestFit="1" customWidth="1"/>
    <col min="5" max="5" width="7.75390625" style="0" customWidth="1"/>
    <col min="6" max="6" width="14.00390625" style="0" bestFit="1" customWidth="1"/>
    <col min="7" max="8" width="14.00390625" style="0" customWidth="1"/>
    <col min="9" max="9" width="15.125" style="0" bestFit="1" customWidth="1"/>
    <col min="10" max="10" width="17.375" style="0" bestFit="1" customWidth="1"/>
    <col min="11" max="21" width="17.375" style="0" customWidth="1"/>
    <col min="22" max="22" width="4.625" style="0" customWidth="1"/>
    <col min="23" max="23" width="21.00390625" style="0" bestFit="1" customWidth="1"/>
    <col min="24" max="24" width="8.125" style="0" bestFit="1" customWidth="1"/>
    <col min="25" max="25" width="12.25390625" style="0" bestFit="1" customWidth="1"/>
    <col min="26" max="26" width="18.625" style="0" customWidth="1"/>
    <col min="27" max="27" width="8.125" style="0" bestFit="1" customWidth="1"/>
  </cols>
  <sheetData>
    <row r="1" spans="1:3" ht="11.25">
      <c r="A1" t="s">
        <v>562</v>
      </c>
      <c r="C1" s="260" t="s">
        <v>670</v>
      </c>
    </row>
    <row r="2" spans="1:3" ht="11.25">
      <c r="A2" t="s">
        <v>679</v>
      </c>
      <c r="C2" s="261" t="s">
        <v>669</v>
      </c>
    </row>
    <row r="3" spans="3:27" ht="12.75" thickBot="1">
      <c r="C3" t="s">
        <v>671</v>
      </c>
      <c r="W3" s="284" t="s">
        <v>666</v>
      </c>
      <c r="X3" s="284"/>
      <c r="Y3" s="256"/>
      <c r="Z3" s="256"/>
      <c r="AA3" s="256"/>
    </row>
    <row r="4" spans="1:27" ht="11.25">
      <c r="A4" t="s">
        <v>568</v>
      </c>
      <c r="W4" s="185" t="s">
        <v>656</v>
      </c>
      <c r="X4" s="248" t="s">
        <v>657</v>
      </c>
      <c r="Z4" s="185" t="s">
        <v>656</v>
      </c>
      <c r="AA4" s="248" t="s">
        <v>657</v>
      </c>
    </row>
    <row r="5" spans="1:27" ht="11.25">
      <c r="A5" t="s">
        <v>563</v>
      </c>
      <c r="W5" s="257">
        <v>2392</v>
      </c>
      <c r="X5" s="33">
        <v>101</v>
      </c>
      <c r="Z5" s="257">
        <v>2392</v>
      </c>
      <c r="AA5" s="33">
        <v>101</v>
      </c>
    </row>
    <row r="6" spans="1:27" ht="11.25">
      <c r="A6" t="s">
        <v>564</v>
      </c>
      <c r="W6" s="37"/>
      <c r="X6" s="33"/>
      <c r="Z6" s="37"/>
      <c r="AA6" s="33"/>
    </row>
    <row r="7" spans="1:27" ht="11.25">
      <c r="A7" t="s">
        <v>569</v>
      </c>
      <c r="W7" s="281" t="s">
        <v>658</v>
      </c>
      <c r="X7" s="282"/>
      <c r="Z7" s="281" t="s">
        <v>660</v>
      </c>
      <c r="AA7" s="282"/>
    </row>
    <row r="8" spans="1:27" ht="11.25">
      <c r="A8" t="s">
        <v>672</v>
      </c>
      <c r="W8" s="266"/>
      <c r="X8" s="267"/>
      <c r="Z8" s="266"/>
      <c r="AA8" s="267"/>
    </row>
    <row r="9" spans="1:27" ht="11.25">
      <c r="A9" t="s">
        <v>673</v>
      </c>
      <c r="W9" s="257">
        <f>'Degrees Granted'!C5</f>
        <v>1886.3333333333335</v>
      </c>
      <c r="X9" s="33">
        <f>'Degrees Granted'!D5</f>
        <v>31</v>
      </c>
      <c r="Z9" s="257">
        <f>'Degrees Granted'!C11</f>
        <v>2195.6666666666665</v>
      </c>
      <c r="AA9" s="33">
        <f>'Degrees Granted'!D11</f>
        <v>54</v>
      </c>
    </row>
    <row r="10" spans="1:27" ht="11.25">
      <c r="A10" t="s">
        <v>674</v>
      </c>
      <c r="W10" s="37"/>
      <c r="X10" s="33"/>
      <c r="Z10" s="37"/>
      <c r="AA10" s="33"/>
    </row>
    <row r="11" spans="1:27" ht="11.25">
      <c r="A11" t="s">
        <v>675</v>
      </c>
      <c r="W11" s="281" t="s">
        <v>659</v>
      </c>
      <c r="X11" s="282"/>
      <c r="Z11" s="281" t="s">
        <v>659</v>
      </c>
      <c r="AA11" s="282"/>
    </row>
    <row r="12" spans="1:27" ht="12.75" thickBot="1">
      <c r="A12" t="s">
        <v>676</v>
      </c>
      <c r="W12" s="258">
        <f>W9/W5</f>
        <v>0.7886008918617615</v>
      </c>
      <c r="X12" s="259">
        <f>X9/X5</f>
        <v>0.3069306930693069</v>
      </c>
      <c r="Z12" s="258">
        <f>Z9/Z5</f>
        <v>0.9179208472686733</v>
      </c>
      <c r="AA12" s="259">
        <f>AA9/AA5</f>
        <v>0.5346534653465347</v>
      </c>
    </row>
    <row r="13" ht="12.75" thickBot="1">
      <c r="A13" t="s">
        <v>677</v>
      </c>
    </row>
    <row r="14" spans="1:24" ht="11.25">
      <c r="A14" t="s">
        <v>678</v>
      </c>
      <c r="W14" s="185" t="s">
        <v>655</v>
      </c>
      <c r="X14" s="248" t="s">
        <v>657</v>
      </c>
    </row>
    <row r="15" spans="7:24" ht="11.25">
      <c r="G15" s="270" t="s">
        <v>693</v>
      </c>
      <c r="K15" t="s">
        <v>694</v>
      </c>
      <c r="N15" t="s">
        <v>695</v>
      </c>
      <c r="W15" s="257">
        <v>409.83333333333337</v>
      </c>
      <c r="X15" s="33">
        <v>28</v>
      </c>
    </row>
    <row r="16" spans="5:24" ht="11.25">
      <c r="E16" s="10"/>
      <c r="W16" s="37"/>
      <c r="X16" s="33"/>
    </row>
    <row r="17" spans="2:24" ht="11.25">
      <c r="B17" s="284" t="s">
        <v>596</v>
      </c>
      <c r="C17" s="284"/>
      <c r="D17" s="284"/>
      <c r="E17" s="10"/>
      <c r="G17" s="284" t="s">
        <v>686</v>
      </c>
      <c r="H17" s="284"/>
      <c r="K17" s="285" t="s">
        <v>689</v>
      </c>
      <c r="L17" s="285"/>
      <c r="M17" s="285"/>
      <c r="N17" s="269"/>
      <c r="O17" s="269"/>
      <c r="P17" s="269"/>
      <c r="Q17" s="269"/>
      <c r="R17" s="269"/>
      <c r="S17" s="269"/>
      <c r="T17" s="269"/>
      <c r="U17" s="269"/>
      <c r="W17" s="281" t="s">
        <v>660</v>
      </c>
      <c r="X17" s="282"/>
    </row>
    <row r="18" spans="1:24" ht="11.25">
      <c r="A18" s="202" t="s">
        <v>17</v>
      </c>
      <c r="B18" s="202" t="s">
        <v>545</v>
      </c>
      <c r="C18" s="202" t="s">
        <v>546</v>
      </c>
      <c r="D18" s="202" t="s">
        <v>549</v>
      </c>
      <c r="E18" s="201"/>
      <c r="F18" s="268" t="s">
        <v>683</v>
      </c>
      <c r="G18" s="268" t="s">
        <v>687</v>
      </c>
      <c r="H18" s="268" t="s">
        <v>688</v>
      </c>
      <c r="I18" s="268" t="s">
        <v>684</v>
      </c>
      <c r="J18" s="268" t="s">
        <v>685</v>
      </c>
      <c r="K18" s="268" t="s">
        <v>690</v>
      </c>
      <c r="L18" s="268" t="s">
        <v>691</v>
      </c>
      <c r="M18" s="268" t="s">
        <v>692</v>
      </c>
      <c r="N18" s="268" t="s">
        <v>691</v>
      </c>
      <c r="O18" s="268" t="s">
        <v>696</v>
      </c>
      <c r="P18" s="268" t="s">
        <v>697</v>
      </c>
      <c r="Q18" s="268" t="s">
        <v>698</v>
      </c>
      <c r="R18" s="268" t="s">
        <v>699</v>
      </c>
      <c r="S18" s="268" t="s">
        <v>700</v>
      </c>
      <c r="T18" s="268" t="s">
        <v>702</v>
      </c>
      <c r="U18" s="268" t="s">
        <v>701</v>
      </c>
      <c r="W18" s="257">
        <v>341.49999999999994</v>
      </c>
      <c r="X18" s="33">
        <v>12</v>
      </c>
    </row>
    <row r="19" spans="1:24" ht="11.25">
      <c r="A19" t="s">
        <v>150</v>
      </c>
      <c r="B19" s="1">
        <v>5</v>
      </c>
      <c r="C19" s="1">
        <v>5</v>
      </c>
      <c r="D19" s="86">
        <f aca="true" t="shared" si="0" ref="D19:D56">B19/C19</f>
        <v>1</v>
      </c>
      <c r="F19" s="88">
        <v>259596</v>
      </c>
      <c r="G19" s="86"/>
      <c r="H19" s="86"/>
      <c r="I19" s="88">
        <f aca="true" t="shared" si="1" ref="I19:I56">F19*G19</f>
        <v>0</v>
      </c>
      <c r="J19" s="88">
        <f aca="true" t="shared" si="2" ref="J19:J56">F19*H19</f>
        <v>0</v>
      </c>
      <c r="K19" s="88"/>
      <c r="L19" s="88"/>
      <c r="M19" s="88"/>
      <c r="N19" s="88"/>
      <c r="O19" s="88"/>
      <c r="P19" s="88"/>
      <c r="Q19" s="88"/>
      <c r="R19" s="88"/>
      <c r="S19" s="88"/>
      <c r="T19" s="88"/>
      <c r="U19" s="88"/>
      <c r="W19" s="37"/>
      <c r="X19" s="33"/>
    </row>
    <row r="20" spans="1:24" ht="11.25">
      <c r="A20" t="s">
        <v>96</v>
      </c>
      <c r="B20" s="1">
        <v>4</v>
      </c>
      <c r="C20" s="1">
        <v>4</v>
      </c>
      <c r="D20" s="86">
        <f t="shared" si="0"/>
        <v>1</v>
      </c>
      <c r="F20" s="88">
        <v>263692.19</v>
      </c>
      <c r="G20" s="86">
        <f>'American Indian Studies'!G24</f>
        <v>0</v>
      </c>
      <c r="H20" s="86">
        <f>'American Indian Studies'!G25</f>
        <v>1</v>
      </c>
      <c r="I20" s="88">
        <f t="shared" si="1"/>
        <v>0</v>
      </c>
      <c r="J20" s="88">
        <f t="shared" si="2"/>
        <v>263692.19</v>
      </c>
      <c r="K20" s="88">
        <f>'American Indian Studies'!G46</f>
        <v>1</v>
      </c>
      <c r="L20" s="88">
        <f>'American Indian Studies'!G47</f>
        <v>1</v>
      </c>
      <c r="M20" s="88">
        <f>SUM('American Indian Studies'!G48:G49)</f>
        <v>0</v>
      </c>
      <c r="N20" s="88"/>
      <c r="O20" s="88">
        <f>'[1]Academic Dept Faculty and Staff'!$O$60</f>
        <v>1</v>
      </c>
      <c r="P20" s="88">
        <f>'[1]Academic Dept Faculty and Staff'!$O$45</f>
        <v>1</v>
      </c>
      <c r="Q20" s="88">
        <f>'[1]Academic Dept Faculty and Staff'!$O$47</f>
        <v>1</v>
      </c>
      <c r="R20" s="88">
        <f>'[1]Academic Dept Faculty and Staff'!$O$49</f>
        <v>1</v>
      </c>
      <c r="S20" s="88"/>
      <c r="T20" s="88"/>
      <c r="U20" s="88"/>
      <c r="W20" s="281" t="s">
        <v>659</v>
      </c>
      <c r="X20" s="282"/>
    </row>
    <row r="21" spans="1:24" ht="12.75" thickBot="1">
      <c r="A21" t="s">
        <v>162</v>
      </c>
      <c r="B21" s="1">
        <v>5</v>
      </c>
      <c r="C21" s="1">
        <v>6</v>
      </c>
      <c r="D21" s="86">
        <f t="shared" si="0"/>
        <v>0.8333333333333334</v>
      </c>
      <c r="F21" s="88">
        <v>1873284.23</v>
      </c>
      <c r="G21" s="86"/>
      <c r="H21" s="86"/>
      <c r="I21" s="88">
        <f t="shared" si="1"/>
        <v>0</v>
      </c>
      <c r="J21" s="88">
        <f t="shared" si="2"/>
        <v>0</v>
      </c>
      <c r="K21" s="88"/>
      <c r="L21" s="88"/>
      <c r="M21" s="88"/>
      <c r="N21" s="88"/>
      <c r="O21" s="88"/>
      <c r="P21" s="88"/>
      <c r="Q21" s="88"/>
      <c r="R21" s="88"/>
      <c r="S21" s="88"/>
      <c r="T21" s="88"/>
      <c r="U21" s="88"/>
      <c r="W21" s="258">
        <v>0.8332655551037005</v>
      </c>
      <c r="X21" s="259">
        <v>0.42857142857142855</v>
      </c>
    </row>
    <row r="22" spans="1:21" ht="11.25">
      <c r="A22" t="s">
        <v>108</v>
      </c>
      <c r="B22" s="1">
        <v>4</v>
      </c>
      <c r="C22" s="1">
        <v>5</v>
      </c>
      <c r="D22" s="86">
        <f t="shared" si="0"/>
        <v>0.8</v>
      </c>
      <c r="F22" s="88">
        <v>266306.27</v>
      </c>
      <c r="G22" s="86">
        <f>CDST!G24</f>
        <v>0.73</v>
      </c>
      <c r="H22" s="86">
        <f>CDST!G25</f>
        <v>0.27</v>
      </c>
      <c r="I22" s="88">
        <f t="shared" si="1"/>
        <v>194403.5771</v>
      </c>
      <c r="J22" s="88">
        <f t="shared" si="2"/>
        <v>71902.69290000001</v>
      </c>
      <c r="K22" s="88">
        <f>CDST!G46</f>
        <v>2</v>
      </c>
      <c r="L22" s="88">
        <f>CDST!G47</f>
        <v>2</v>
      </c>
      <c r="M22" s="88">
        <f>SUM(CDST!G48:G49)</f>
        <v>0</v>
      </c>
      <c r="N22" s="88"/>
      <c r="O22" s="88"/>
      <c r="P22" s="88"/>
      <c r="Q22" s="88"/>
      <c r="R22" s="88"/>
      <c r="S22" s="88"/>
      <c r="T22" s="88"/>
      <c r="U22" s="88"/>
    </row>
    <row r="23" spans="1:21" ht="11.25">
      <c r="A23" t="s">
        <v>181</v>
      </c>
      <c r="B23" s="1">
        <v>4</v>
      </c>
      <c r="C23" s="1">
        <v>5</v>
      </c>
      <c r="D23" s="86">
        <f t="shared" si="0"/>
        <v>0.8</v>
      </c>
      <c r="F23" s="88">
        <v>321561.42</v>
      </c>
      <c r="G23" s="86"/>
      <c r="H23" s="86"/>
      <c r="I23" s="88">
        <f t="shared" si="1"/>
        <v>0</v>
      </c>
      <c r="J23" s="88">
        <f t="shared" si="2"/>
        <v>0</v>
      </c>
      <c r="K23" s="88"/>
      <c r="L23" s="88"/>
      <c r="M23" s="88"/>
      <c r="N23" s="88"/>
      <c r="O23" s="88"/>
      <c r="P23" s="88"/>
      <c r="Q23" s="88"/>
      <c r="R23" s="88"/>
      <c r="S23" s="88"/>
      <c r="T23" s="88"/>
      <c r="U23" s="88"/>
    </row>
    <row r="24" spans="1:21" ht="11.25">
      <c r="A24" t="s">
        <v>118</v>
      </c>
      <c r="B24" s="1">
        <v>4</v>
      </c>
      <c r="C24" s="1">
        <v>6</v>
      </c>
      <c r="D24" s="86">
        <f t="shared" si="0"/>
        <v>0.6666666666666666</v>
      </c>
      <c r="F24" s="88">
        <v>2690501.62</v>
      </c>
      <c r="G24" s="86"/>
      <c r="H24" s="86"/>
      <c r="I24" s="88">
        <f t="shared" si="1"/>
        <v>0</v>
      </c>
      <c r="J24" s="88">
        <f t="shared" si="2"/>
        <v>0</v>
      </c>
      <c r="K24" s="88"/>
      <c r="L24" s="88"/>
      <c r="M24" s="88"/>
      <c r="N24" s="88"/>
      <c r="O24" s="88"/>
      <c r="P24" s="88"/>
      <c r="Q24" s="88"/>
      <c r="R24" s="88"/>
      <c r="S24" s="88"/>
      <c r="T24" s="88"/>
      <c r="U24" s="88"/>
    </row>
    <row r="25" spans="1:25" ht="11.25">
      <c r="A25" t="s">
        <v>559</v>
      </c>
      <c r="B25" s="1">
        <v>4</v>
      </c>
      <c r="C25" s="1">
        <v>6</v>
      </c>
      <c r="D25" s="86">
        <f t="shared" si="0"/>
        <v>0.6666666666666666</v>
      </c>
      <c r="F25" s="88">
        <v>532887.36</v>
      </c>
      <c r="G25" s="86"/>
      <c r="H25" s="86"/>
      <c r="I25" s="88">
        <f t="shared" si="1"/>
        <v>0</v>
      </c>
      <c r="J25" s="88">
        <f t="shared" si="2"/>
        <v>0</v>
      </c>
      <c r="K25" s="88"/>
      <c r="L25" s="88"/>
      <c r="M25" s="88"/>
      <c r="N25" s="88"/>
      <c r="O25" s="88"/>
      <c r="P25" s="88"/>
      <c r="Q25" s="88"/>
      <c r="R25" s="88"/>
      <c r="S25" s="88"/>
      <c r="T25" s="88"/>
      <c r="U25" s="88"/>
      <c r="W25" s="283" t="s">
        <v>667</v>
      </c>
      <c r="X25" s="283"/>
      <c r="Y25" s="283"/>
    </row>
    <row r="26" spans="1:25" ht="11.25">
      <c r="A26" t="s">
        <v>177</v>
      </c>
      <c r="B26" s="1">
        <v>4</v>
      </c>
      <c r="C26" s="1">
        <v>6</v>
      </c>
      <c r="D26" s="86">
        <f t="shared" si="0"/>
        <v>0.6666666666666666</v>
      </c>
      <c r="F26" s="88">
        <v>2310459.2199999997</v>
      </c>
      <c r="G26" s="86"/>
      <c r="H26" s="86"/>
      <c r="I26" s="88">
        <f t="shared" si="1"/>
        <v>0</v>
      </c>
      <c r="J26" s="88">
        <f t="shared" si="2"/>
        <v>0</v>
      </c>
      <c r="K26" s="88"/>
      <c r="L26" s="88"/>
      <c r="M26" s="88"/>
      <c r="N26" s="88"/>
      <c r="O26" s="88"/>
      <c r="P26" s="88"/>
      <c r="Q26" s="88"/>
      <c r="R26" s="88"/>
      <c r="S26" s="88"/>
      <c r="T26" s="88"/>
      <c r="U26" s="88"/>
      <c r="Y26" t="s">
        <v>663</v>
      </c>
    </row>
    <row r="27" spans="1:25" ht="11.25">
      <c r="A27" t="s">
        <v>114</v>
      </c>
      <c r="B27" s="1">
        <v>3</v>
      </c>
      <c r="C27" s="1">
        <v>5</v>
      </c>
      <c r="D27" s="86">
        <f t="shared" si="0"/>
        <v>0.6</v>
      </c>
      <c r="F27" s="88">
        <v>820772.88</v>
      </c>
      <c r="G27" s="86">
        <f>CreativeWriting!G24</f>
        <v>0.854</v>
      </c>
      <c r="H27" s="86">
        <f>CreativeWriting!G25</f>
        <v>0.146</v>
      </c>
      <c r="I27" s="88">
        <f t="shared" si="1"/>
        <v>700940.03952</v>
      </c>
      <c r="J27" s="88">
        <f t="shared" si="2"/>
        <v>119832.84048</v>
      </c>
      <c r="K27" s="88">
        <f>CreativeWriting!G45</f>
        <v>6</v>
      </c>
      <c r="L27" s="88">
        <f>CreativeWriting!G46</f>
        <v>1</v>
      </c>
      <c r="M27" s="88">
        <f>SUM(CreativeWriting!G47:G48)</f>
        <v>1</v>
      </c>
      <c r="N27" s="88"/>
      <c r="O27" s="88"/>
      <c r="P27" s="88"/>
      <c r="Q27" s="88"/>
      <c r="R27" s="88"/>
      <c r="S27" s="88"/>
      <c r="T27" s="88"/>
      <c r="U27" s="88"/>
      <c r="W27" t="s">
        <v>661</v>
      </c>
      <c r="X27" s="184">
        <v>5640</v>
      </c>
      <c r="Y27" s="184">
        <v>116</v>
      </c>
    </row>
    <row r="28" spans="1:25" ht="11.25">
      <c r="A28" t="s">
        <v>130</v>
      </c>
      <c r="B28" s="1">
        <v>3</v>
      </c>
      <c r="C28" s="1">
        <v>5</v>
      </c>
      <c r="D28" s="86">
        <f t="shared" si="0"/>
        <v>0.6</v>
      </c>
      <c r="F28" s="88">
        <v>562609.31</v>
      </c>
      <c r="G28" s="86"/>
      <c r="H28" s="86"/>
      <c r="I28" s="88">
        <f t="shared" si="1"/>
        <v>0</v>
      </c>
      <c r="J28" s="88">
        <f t="shared" si="2"/>
        <v>0</v>
      </c>
      <c r="K28" s="88"/>
      <c r="L28" s="88"/>
      <c r="M28" s="88"/>
      <c r="N28" s="88"/>
      <c r="O28" s="88"/>
      <c r="P28" s="88"/>
      <c r="Q28" s="88"/>
      <c r="R28" s="88"/>
      <c r="S28" s="88"/>
      <c r="T28" s="88"/>
      <c r="U28" s="88"/>
      <c r="W28" t="s">
        <v>662</v>
      </c>
      <c r="X28" s="184">
        <v>4939</v>
      </c>
      <c r="Y28" s="184">
        <v>49</v>
      </c>
    </row>
    <row r="29" spans="1:25" ht="11.25">
      <c r="A29" t="s">
        <v>139</v>
      </c>
      <c r="B29" s="1">
        <v>3</v>
      </c>
      <c r="C29" s="1">
        <v>5</v>
      </c>
      <c r="D29" s="86">
        <f t="shared" si="0"/>
        <v>0.6</v>
      </c>
      <c r="F29" s="88">
        <v>276435.75</v>
      </c>
      <c r="G29" s="86"/>
      <c r="H29" s="86"/>
      <c r="I29" s="88">
        <f t="shared" si="1"/>
        <v>0</v>
      </c>
      <c r="J29" s="88">
        <f t="shared" si="2"/>
        <v>0</v>
      </c>
      <c r="K29" s="88"/>
      <c r="L29" s="88"/>
      <c r="M29" s="88"/>
      <c r="N29" s="88"/>
      <c r="O29" s="88"/>
      <c r="P29" s="88"/>
      <c r="Q29" s="88"/>
      <c r="R29" s="88"/>
      <c r="S29" s="88"/>
      <c r="T29" s="88"/>
      <c r="U29" s="88"/>
      <c r="W29" t="s">
        <v>664</v>
      </c>
      <c r="X29" s="86">
        <v>0.875709219858156</v>
      </c>
      <c r="Y29" s="86">
        <v>0.4224137931034483</v>
      </c>
    </row>
    <row r="30" spans="1:21" ht="11.25">
      <c r="A30" t="s">
        <v>560</v>
      </c>
      <c r="B30" s="1">
        <v>3</v>
      </c>
      <c r="C30" s="1">
        <v>5</v>
      </c>
      <c r="D30" s="86">
        <f t="shared" si="0"/>
        <v>0.6</v>
      </c>
      <c r="F30" s="88">
        <v>1112283.22</v>
      </c>
      <c r="G30" s="86"/>
      <c r="H30" s="86"/>
      <c r="I30" s="88">
        <f t="shared" si="1"/>
        <v>0</v>
      </c>
      <c r="J30" s="88">
        <f t="shared" si="2"/>
        <v>0</v>
      </c>
      <c r="K30" s="88"/>
      <c r="L30" s="88"/>
      <c r="M30" s="88"/>
      <c r="N30" s="88"/>
      <c r="O30" s="88"/>
      <c r="P30" s="88"/>
      <c r="Q30" s="88"/>
      <c r="R30" s="88"/>
      <c r="S30" s="88"/>
      <c r="T30" s="88"/>
      <c r="U30" s="88"/>
    </row>
    <row r="31" spans="1:25" ht="11.25">
      <c r="A31" t="s">
        <v>140</v>
      </c>
      <c r="B31" s="1">
        <v>3</v>
      </c>
      <c r="C31" s="1">
        <v>6</v>
      </c>
      <c r="D31" s="86">
        <f t="shared" si="0"/>
        <v>0.5</v>
      </c>
      <c r="F31" s="88">
        <v>1262488.51</v>
      </c>
      <c r="G31" s="86"/>
      <c r="H31" s="86"/>
      <c r="I31" s="88">
        <f t="shared" si="1"/>
        <v>0</v>
      </c>
      <c r="J31" s="88">
        <f t="shared" si="2"/>
        <v>0</v>
      </c>
      <c r="K31" s="88"/>
      <c r="L31" s="88"/>
      <c r="M31" s="88"/>
      <c r="N31" s="88"/>
      <c r="O31" s="88"/>
      <c r="P31" s="88"/>
      <c r="Q31" s="88"/>
      <c r="R31" s="88"/>
      <c r="S31" s="88"/>
      <c r="T31" s="88"/>
      <c r="U31" s="88"/>
      <c r="W31" s="264" t="s">
        <v>661</v>
      </c>
      <c r="X31" s="265">
        <v>5640</v>
      </c>
      <c r="Y31" s="264">
        <v>116</v>
      </c>
    </row>
    <row r="32" spans="1:25" ht="11.25">
      <c r="A32" t="s">
        <v>106</v>
      </c>
      <c r="B32" s="1">
        <v>2</v>
      </c>
      <c r="C32" s="1">
        <v>4</v>
      </c>
      <c r="D32" s="86">
        <f t="shared" si="0"/>
        <v>0.5</v>
      </c>
      <c r="F32" s="88">
        <v>280414.11</v>
      </c>
      <c r="G32" s="86">
        <f>Chicanx!G24</f>
        <v>0</v>
      </c>
      <c r="H32" s="86">
        <f>Chicanx!G25</f>
        <v>1</v>
      </c>
      <c r="I32" s="88">
        <f t="shared" si="1"/>
        <v>0</v>
      </c>
      <c r="J32" s="88">
        <f t="shared" si="2"/>
        <v>280414.11</v>
      </c>
      <c r="K32" s="88">
        <f>Chicanx!G46</f>
        <v>2.5</v>
      </c>
      <c r="L32" s="88">
        <f>Chicanx!G47</f>
        <v>0</v>
      </c>
      <c r="M32" s="88">
        <f>SUM(Chicanx!G48:G49)</f>
        <v>0</v>
      </c>
      <c r="N32" s="88"/>
      <c r="O32" s="88"/>
      <c r="P32" s="88"/>
      <c r="Q32" s="88"/>
      <c r="R32" s="88"/>
      <c r="S32" s="88"/>
      <c r="T32" s="88"/>
      <c r="U32" s="88"/>
      <c r="W32" s="264" t="s">
        <v>665</v>
      </c>
      <c r="X32" s="265">
        <v>5330</v>
      </c>
      <c r="Y32" s="264">
        <v>65</v>
      </c>
    </row>
    <row r="33" spans="1:25" ht="11.25">
      <c r="A33" t="s">
        <v>128</v>
      </c>
      <c r="B33" s="1">
        <v>2</v>
      </c>
      <c r="C33" s="1">
        <v>5</v>
      </c>
      <c r="D33" s="86">
        <f t="shared" si="0"/>
        <v>0.4</v>
      </c>
      <c r="F33" s="88">
        <v>488558.15</v>
      </c>
      <c r="G33" s="86">
        <f>ANTR!G24</f>
        <v>0.152</v>
      </c>
      <c r="H33" s="86">
        <f>ANTR!G25</f>
        <v>0.848</v>
      </c>
      <c r="I33" s="88">
        <f t="shared" si="1"/>
        <v>74260.8388</v>
      </c>
      <c r="J33" s="88">
        <f t="shared" si="2"/>
        <v>414297.3112</v>
      </c>
      <c r="K33" s="88">
        <f>ANTR!G46</f>
        <v>5</v>
      </c>
      <c r="L33" s="88">
        <f>ANTR!G47</f>
        <v>0.5</v>
      </c>
      <c r="M33" s="88">
        <f>SUM(ANTR!G48:G49)</f>
        <v>0</v>
      </c>
      <c r="N33" s="88"/>
      <c r="O33" s="88"/>
      <c r="P33" s="88"/>
      <c r="Q33" s="88"/>
      <c r="R33" s="88"/>
      <c r="S33" s="88"/>
      <c r="T33" s="88"/>
      <c r="U33" s="88"/>
      <c r="W33" s="264" t="s">
        <v>664</v>
      </c>
      <c r="X33" s="252">
        <v>0.9450354609929078</v>
      </c>
      <c r="Y33" s="252">
        <v>0.5603448275862069</v>
      </c>
    </row>
    <row r="34" spans="1:25" ht="11.25">
      <c r="A34" t="s">
        <v>193</v>
      </c>
      <c r="B34" s="1">
        <v>2</v>
      </c>
      <c r="C34" s="1">
        <v>5</v>
      </c>
      <c r="D34" s="86">
        <f t="shared" si="0"/>
        <v>0.4</v>
      </c>
      <c r="F34" s="88">
        <v>1457066.32</v>
      </c>
      <c r="G34" s="86"/>
      <c r="H34" s="86"/>
      <c r="I34" s="88">
        <f t="shared" si="1"/>
        <v>0</v>
      </c>
      <c r="J34" s="88">
        <f t="shared" si="2"/>
        <v>0</v>
      </c>
      <c r="K34" s="88"/>
      <c r="L34" s="88"/>
      <c r="M34" s="88"/>
      <c r="N34" s="88"/>
      <c r="O34" s="88"/>
      <c r="P34" s="88"/>
      <c r="Q34" s="88"/>
      <c r="R34" s="88"/>
      <c r="S34" s="88"/>
      <c r="T34" s="88"/>
      <c r="U34" s="88"/>
      <c r="W34" s="264"/>
      <c r="X34" s="264"/>
      <c r="Y34" s="264"/>
    </row>
    <row r="35" spans="1:25" ht="11.25">
      <c r="A35" t="s">
        <v>121</v>
      </c>
      <c r="B35" s="1">
        <v>2</v>
      </c>
      <c r="C35" s="1">
        <v>5</v>
      </c>
      <c r="D35" s="86">
        <f t="shared" si="0"/>
        <v>0.4</v>
      </c>
      <c r="F35" s="88">
        <v>1185978.9249999998</v>
      </c>
      <c r="G35" s="86"/>
      <c r="H35" s="86"/>
      <c r="I35" s="88">
        <f t="shared" si="1"/>
        <v>0</v>
      </c>
      <c r="J35" s="88">
        <f t="shared" si="2"/>
        <v>0</v>
      </c>
      <c r="K35" s="88"/>
      <c r="L35" s="88"/>
      <c r="M35" s="88"/>
      <c r="N35" s="88"/>
      <c r="O35" s="88"/>
      <c r="P35" s="88"/>
      <c r="Q35" s="88"/>
      <c r="R35" s="88"/>
      <c r="S35" s="88"/>
      <c r="T35" s="88"/>
      <c r="U35" s="88"/>
      <c r="W35" s="264" t="s">
        <v>661</v>
      </c>
      <c r="X35" s="265">
        <v>5640</v>
      </c>
      <c r="Y35" s="264">
        <v>116</v>
      </c>
    </row>
    <row r="36" spans="1:25" ht="11.25">
      <c r="A36" t="s">
        <v>309</v>
      </c>
      <c r="B36" s="1">
        <v>2</v>
      </c>
      <c r="C36" s="1">
        <v>5</v>
      </c>
      <c r="D36" s="86">
        <f t="shared" si="0"/>
        <v>0.4</v>
      </c>
      <c r="F36" s="88">
        <v>1172206.1600000001</v>
      </c>
      <c r="G36" s="86"/>
      <c r="H36" s="86"/>
      <c r="I36" s="88">
        <f t="shared" si="1"/>
        <v>0</v>
      </c>
      <c r="J36" s="88">
        <f t="shared" si="2"/>
        <v>0</v>
      </c>
      <c r="K36" s="88"/>
      <c r="L36" s="88"/>
      <c r="M36" s="88"/>
      <c r="N36" s="88"/>
      <c r="O36" s="88"/>
      <c r="P36" s="88"/>
      <c r="Q36" s="88"/>
      <c r="R36" s="88"/>
      <c r="S36" s="88"/>
      <c r="T36" s="88"/>
      <c r="U36" s="88"/>
      <c r="W36" s="264" t="s">
        <v>681</v>
      </c>
      <c r="X36" s="265">
        <v>5377</v>
      </c>
      <c r="Y36" s="264">
        <v>68</v>
      </c>
    </row>
    <row r="37" spans="1:25" ht="11.25">
      <c r="A37" t="s">
        <v>135</v>
      </c>
      <c r="B37" s="1">
        <v>2</v>
      </c>
      <c r="C37" s="1">
        <v>5</v>
      </c>
      <c r="D37" s="86">
        <f t="shared" si="0"/>
        <v>0.4</v>
      </c>
      <c r="F37" s="88">
        <v>974025.03</v>
      </c>
      <c r="G37" s="86"/>
      <c r="H37" s="86"/>
      <c r="I37" s="88">
        <f t="shared" si="1"/>
        <v>0</v>
      </c>
      <c r="J37" s="88">
        <f t="shared" si="2"/>
        <v>0</v>
      </c>
      <c r="K37" s="88"/>
      <c r="L37" s="88"/>
      <c r="M37" s="88"/>
      <c r="N37" s="88"/>
      <c r="O37" s="88"/>
      <c r="P37" s="88"/>
      <c r="Q37" s="88"/>
      <c r="R37" s="88"/>
      <c r="S37" s="88"/>
      <c r="T37" s="88"/>
      <c r="U37" s="88"/>
      <c r="W37" s="264" t="s">
        <v>664</v>
      </c>
      <c r="X37" s="252">
        <v>0.9533687943262411</v>
      </c>
      <c r="Y37" s="252">
        <v>0.5862068965517241</v>
      </c>
    </row>
    <row r="38" spans="1:25" ht="11.25">
      <c r="A38" t="s">
        <v>253</v>
      </c>
      <c r="B38" s="1">
        <v>2</v>
      </c>
      <c r="C38" s="1">
        <v>6</v>
      </c>
      <c r="D38" s="86">
        <f t="shared" si="0"/>
        <v>0.3333333333333333</v>
      </c>
      <c r="F38" s="88">
        <v>1252496.04</v>
      </c>
      <c r="G38" s="86">
        <f>CMST!G24</f>
        <v>0.407</v>
      </c>
      <c r="H38" s="86">
        <f>CMST!G25</f>
        <v>0.593</v>
      </c>
      <c r="I38" s="88">
        <f t="shared" si="1"/>
        <v>509765.88827999996</v>
      </c>
      <c r="J38" s="88">
        <f t="shared" si="2"/>
        <v>742730.15172</v>
      </c>
      <c r="K38" s="88">
        <f>CMST!G46</f>
        <v>7.5</v>
      </c>
      <c r="L38" s="88">
        <f>CMST!G47</f>
        <v>3</v>
      </c>
      <c r="M38" s="88">
        <f>SUM(CMST!G48:G49)</f>
        <v>0.35</v>
      </c>
      <c r="N38" s="88"/>
      <c r="O38" s="88"/>
      <c r="P38" s="88"/>
      <c r="Q38" s="88"/>
      <c r="R38" s="88"/>
      <c r="S38" s="88"/>
      <c r="T38" s="88"/>
      <c r="U38" s="88"/>
      <c r="W38" s="264"/>
      <c r="X38" s="264"/>
      <c r="Y38" s="264"/>
    </row>
    <row r="39" spans="1:25" ht="11.25">
      <c r="A39" t="s">
        <v>112</v>
      </c>
      <c r="B39" s="1">
        <v>2</v>
      </c>
      <c r="C39" s="1">
        <v>6</v>
      </c>
      <c r="D39" s="86">
        <f t="shared" si="0"/>
        <v>0.3333333333333333</v>
      </c>
      <c r="F39" s="88">
        <v>1904440.1500000001</v>
      </c>
      <c r="G39" s="86">
        <f>ComputerScience!G24</f>
        <v>0.635</v>
      </c>
      <c r="H39" s="86">
        <f>ComputerScience!G25</f>
        <v>0.365</v>
      </c>
      <c r="I39" s="88">
        <f t="shared" si="1"/>
        <v>1209319.4952500002</v>
      </c>
      <c r="J39" s="88">
        <f t="shared" si="2"/>
        <v>695120.65475</v>
      </c>
      <c r="K39" s="88">
        <f>ComputerScience!G46</f>
        <v>8</v>
      </c>
      <c r="L39" s="88">
        <f>ComputerScience!G47</f>
        <v>6</v>
      </c>
      <c r="M39" s="88">
        <f>SUM(ComputerScience!G48:G49)</f>
        <v>0.91</v>
      </c>
      <c r="N39" s="88"/>
      <c r="O39" s="88"/>
      <c r="P39" s="88"/>
      <c r="Q39" s="88"/>
      <c r="R39" s="88"/>
      <c r="S39" s="88"/>
      <c r="T39" s="88"/>
      <c r="U39" s="88"/>
      <c r="W39" s="264" t="s">
        <v>661</v>
      </c>
      <c r="X39" s="265">
        <v>5640</v>
      </c>
      <c r="Y39" s="264">
        <v>116</v>
      </c>
    </row>
    <row r="40" spans="1:25" ht="11.25">
      <c r="A40" t="s">
        <v>347</v>
      </c>
      <c r="B40" s="1">
        <v>2</v>
      </c>
      <c r="C40" s="1">
        <v>6</v>
      </c>
      <c r="D40" s="86">
        <f t="shared" si="0"/>
        <v>0.3333333333333333</v>
      </c>
      <c r="F40" s="88">
        <v>1858129.5099999998</v>
      </c>
      <c r="G40" s="86"/>
      <c r="H40" s="86"/>
      <c r="I40" s="88">
        <f t="shared" si="1"/>
        <v>0</v>
      </c>
      <c r="J40" s="88">
        <f t="shared" si="2"/>
        <v>0</v>
      </c>
      <c r="K40" s="88"/>
      <c r="L40" s="88"/>
      <c r="M40" s="88"/>
      <c r="N40" s="88"/>
      <c r="O40" s="88"/>
      <c r="P40" s="88"/>
      <c r="Q40" s="88"/>
      <c r="R40" s="88"/>
      <c r="S40" s="88"/>
      <c r="T40" s="88"/>
      <c r="U40" s="88"/>
      <c r="W40" s="264" t="s">
        <v>680</v>
      </c>
      <c r="X40" s="265">
        <v>5493</v>
      </c>
      <c r="Y40" s="264">
        <v>78</v>
      </c>
    </row>
    <row r="41" spans="1:25" ht="11.25">
      <c r="A41" t="s">
        <v>187</v>
      </c>
      <c r="B41" s="1">
        <v>1</v>
      </c>
      <c r="C41" s="1">
        <v>5</v>
      </c>
      <c r="D41" s="86">
        <f t="shared" si="0"/>
        <v>0.2</v>
      </c>
      <c r="F41" s="88">
        <v>1213220.94</v>
      </c>
      <c r="G41" s="86">
        <f>Art!G24</f>
        <v>0.236</v>
      </c>
      <c r="H41" s="86">
        <f>Art!G25</f>
        <v>0.764</v>
      </c>
      <c r="I41" s="88">
        <f t="shared" si="1"/>
        <v>286320.14184</v>
      </c>
      <c r="J41" s="88">
        <f t="shared" si="2"/>
        <v>926900.79816</v>
      </c>
      <c r="K41" s="88">
        <f>Art!G46</f>
        <v>7</v>
      </c>
      <c r="L41" s="88">
        <f>Art!G47</f>
        <v>2</v>
      </c>
      <c r="M41" s="88">
        <f>SUM(Art!G48:G49)</f>
        <v>0</v>
      </c>
      <c r="N41" s="88"/>
      <c r="O41" s="88"/>
      <c r="P41" s="88"/>
      <c r="Q41" s="88"/>
      <c r="R41" s="88"/>
      <c r="S41" s="88"/>
      <c r="T41" s="88"/>
      <c r="U41" s="88"/>
      <c r="W41" s="264" t="s">
        <v>664</v>
      </c>
      <c r="X41" s="252">
        <v>0.9739361702127659</v>
      </c>
      <c r="Y41" s="252">
        <v>0.6724137931034483</v>
      </c>
    </row>
    <row r="42" spans="1:25" ht="11.25">
      <c r="A42" t="s">
        <v>103</v>
      </c>
      <c r="B42" s="1">
        <v>1</v>
      </c>
      <c r="C42" s="1">
        <v>5</v>
      </c>
      <c r="D42" s="86">
        <f t="shared" si="0"/>
        <v>0.2</v>
      </c>
      <c r="F42" s="88">
        <v>2660883.49</v>
      </c>
      <c r="G42" s="86">
        <f>Biology!G24</f>
        <v>0.467</v>
      </c>
      <c r="H42" s="86">
        <f>Biology!G25</f>
        <v>0.533</v>
      </c>
      <c r="I42" s="88">
        <f t="shared" si="1"/>
        <v>1242632.5898300002</v>
      </c>
      <c r="J42" s="88">
        <f t="shared" si="2"/>
        <v>1418250.9001700003</v>
      </c>
      <c r="K42" s="88">
        <f>Biology!G46</f>
        <v>18</v>
      </c>
      <c r="L42" s="88">
        <f>Biology!G47</f>
        <v>3</v>
      </c>
      <c r="M42" s="88">
        <f>SUM(Biology!G48:G49)</f>
        <v>1.17</v>
      </c>
      <c r="N42" s="88"/>
      <c r="O42" s="88"/>
      <c r="P42" s="88"/>
      <c r="Q42" s="88"/>
      <c r="R42" s="88"/>
      <c r="S42" s="88"/>
      <c r="T42" s="88"/>
      <c r="U42" s="88"/>
      <c r="W42" s="283" t="s">
        <v>668</v>
      </c>
      <c r="X42" s="283"/>
      <c r="Y42" s="283"/>
    </row>
    <row r="43" spans="1:25" ht="11.25">
      <c r="A43" t="s">
        <v>703</v>
      </c>
      <c r="B43" s="1">
        <v>1</v>
      </c>
      <c r="C43" s="1">
        <v>5</v>
      </c>
      <c r="D43" s="86">
        <f t="shared" si="0"/>
        <v>0.2</v>
      </c>
      <c r="F43" s="88">
        <v>1221817.99</v>
      </c>
      <c r="G43" s="86"/>
      <c r="H43" s="86"/>
      <c r="I43" s="88">
        <f t="shared" si="1"/>
        <v>0</v>
      </c>
      <c r="J43" s="88">
        <f t="shared" si="2"/>
        <v>0</v>
      </c>
      <c r="K43" s="88"/>
      <c r="L43" s="88"/>
      <c r="M43" s="88"/>
      <c r="N43" s="88"/>
      <c r="O43" s="88"/>
      <c r="P43" s="88"/>
      <c r="Q43" s="88"/>
      <c r="R43" s="88"/>
      <c r="S43" s="88"/>
      <c r="T43" s="88"/>
      <c r="U43" s="88"/>
      <c r="Y43" t="s">
        <v>663</v>
      </c>
    </row>
    <row r="44" spans="1:25" ht="11.25">
      <c r="A44" t="s">
        <v>205</v>
      </c>
      <c r="B44" s="1">
        <v>1</v>
      </c>
      <c r="C44" s="1">
        <v>5</v>
      </c>
      <c r="D44" s="86">
        <f t="shared" si="0"/>
        <v>0.2</v>
      </c>
      <c r="F44" s="88">
        <v>1498421.56</v>
      </c>
      <c r="G44" s="86"/>
      <c r="H44" s="86"/>
      <c r="I44" s="88">
        <f t="shared" si="1"/>
        <v>0</v>
      </c>
      <c r="J44" s="88">
        <f t="shared" si="2"/>
        <v>0</v>
      </c>
      <c r="K44" s="88"/>
      <c r="L44" s="88"/>
      <c r="M44" s="88"/>
      <c r="N44" s="88"/>
      <c r="O44" s="88"/>
      <c r="P44" s="88"/>
      <c r="Q44" s="88"/>
      <c r="R44" s="88"/>
      <c r="S44" s="88"/>
      <c r="T44" s="88"/>
      <c r="U44" s="88"/>
      <c r="W44" t="s">
        <v>661</v>
      </c>
      <c r="X44" s="184">
        <v>1120</v>
      </c>
      <c r="Y44" s="184">
        <v>39</v>
      </c>
    </row>
    <row r="45" spans="1:25" ht="11.25">
      <c r="A45" t="s">
        <v>168</v>
      </c>
      <c r="B45" s="1">
        <v>1</v>
      </c>
      <c r="C45" s="1">
        <v>5</v>
      </c>
      <c r="D45" s="86">
        <f t="shared" si="0"/>
        <v>0.2</v>
      </c>
      <c r="F45" s="88">
        <v>646177.72</v>
      </c>
      <c r="G45" s="86"/>
      <c r="H45" s="86"/>
      <c r="I45" s="88">
        <f t="shared" si="1"/>
        <v>0</v>
      </c>
      <c r="J45" s="88">
        <f t="shared" si="2"/>
        <v>0</v>
      </c>
      <c r="K45" s="88"/>
      <c r="L45" s="88"/>
      <c r="M45" s="88"/>
      <c r="N45" s="88"/>
      <c r="O45" s="88"/>
      <c r="P45" s="88"/>
      <c r="Q45" s="88"/>
      <c r="R45" s="88"/>
      <c r="S45" s="88"/>
      <c r="T45" s="88"/>
      <c r="U45" s="88"/>
      <c r="W45" t="s">
        <v>665</v>
      </c>
      <c r="X45" s="184">
        <v>997</v>
      </c>
      <c r="Y45" s="184">
        <v>17</v>
      </c>
    </row>
    <row r="46" spans="1:25" ht="11.25">
      <c r="A46" t="s">
        <v>561</v>
      </c>
      <c r="B46" s="1">
        <v>1</v>
      </c>
      <c r="C46" s="1">
        <v>5</v>
      </c>
      <c r="D46" s="86">
        <f t="shared" si="0"/>
        <v>0.2</v>
      </c>
      <c r="F46" s="88">
        <v>1429997.33</v>
      </c>
      <c r="G46" s="86"/>
      <c r="H46" s="86"/>
      <c r="I46" s="88">
        <f t="shared" si="1"/>
        <v>0</v>
      </c>
      <c r="J46" s="88">
        <f t="shared" si="2"/>
        <v>0</v>
      </c>
      <c r="K46" s="88"/>
      <c r="L46" s="88"/>
      <c r="M46" s="88"/>
      <c r="N46" s="88"/>
      <c r="O46" s="88"/>
      <c r="P46" s="88"/>
      <c r="Q46" s="88"/>
      <c r="R46" s="88"/>
      <c r="S46" s="88"/>
      <c r="T46" s="88"/>
      <c r="U46" s="88"/>
      <c r="W46" t="s">
        <v>664</v>
      </c>
      <c r="X46" s="86">
        <v>0.8901785714285714</v>
      </c>
      <c r="Y46" s="86">
        <v>0.4358974358974359</v>
      </c>
    </row>
    <row r="47" spans="1:21" ht="11.25">
      <c r="A47" t="s">
        <v>434</v>
      </c>
      <c r="B47" s="1">
        <v>1</v>
      </c>
      <c r="C47" s="1">
        <v>5</v>
      </c>
      <c r="D47" s="86">
        <f t="shared" si="0"/>
        <v>0.2</v>
      </c>
      <c r="F47" s="88">
        <v>576528.8899999999</v>
      </c>
      <c r="G47" s="86"/>
      <c r="H47" s="86"/>
      <c r="I47" s="88">
        <f t="shared" si="1"/>
        <v>0</v>
      </c>
      <c r="J47" s="88">
        <f t="shared" si="2"/>
        <v>0</v>
      </c>
      <c r="K47" s="88"/>
      <c r="L47" s="88"/>
      <c r="M47" s="88"/>
      <c r="N47" s="88"/>
      <c r="O47" s="88"/>
      <c r="P47" s="88"/>
      <c r="Q47" s="88"/>
      <c r="R47" s="88"/>
      <c r="S47" s="88"/>
      <c r="T47" s="88"/>
      <c r="U47" s="88"/>
    </row>
    <row r="48" spans="1:25" ht="11.25">
      <c r="A48" t="s">
        <v>558</v>
      </c>
      <c r="B48" s="1">
        <v>1</v>
      </c>
      <c r="C48" s="1">
        <v>5</v>
      </c>
      <c r="D48" s="86">
        <f t="shared" si="0"/>
        <v>0.2</v>
      </c>
      <c r="F48" s="88">
        <v>213117</v>
      </c>
      <c r="G48" s="86"/>
      <c r="H48" s="86"/>
      <c r="I48" s="88">
        <f t="shared" si="1"/>
        <v>0</v>
      </c>
      <c r="J48" s="88">
        <f t="shared" si="2"/>
        <v>0</v>
      </c>
      <c r="K48" s="88"/>
      <c r="L48" s="88"/>
      <c r="M48" s="88"/>
      <c r="N48" s="88"/>
      <c r="O48" s="88"/>
      <c r="P48" s="88"/>
      <c r="Q48" s="88"/>
      <c r="R48" s="88"/>
      <c r="S48" s="88"/>
      <c r="T48" s="88"/>
      <c r="U48" s="88"/>
      <c r="W48" s="264" t="s">
        <v>661</v>
      </c>
      <c r="X48" s="265">
        <v>1120</v>
      </c>
      <c r="Y48" s="264">
        <v>39</v>
      </c>
    </row>
    <row r="49" spans="1:25" ht="11.25">
      <c r="A49" t="s">
        <v>93</v>
      </c>
      <c r="B49" s="1">
        <v>1</v>
      </c>
      <c r="C49" s="1">
        <v>6</v>
      </c>
      <c r="D49" s="86">
        <f t="shared" si="0"/>
        <v>0.16666666666666666</v>
      </c>
      <c r="F49" s="88">
        <v>1295952.69</v>
      </c>
      <c r="G49" s="86">
        <f>Accounting!G24</f>
        <v>0.316</v>
      </c>
      <c r="H49" s="86">
        <f>Accounting!G25</f>
        <v>0.684</v>
      </c>
      <c r="I49" s="88">
        <f t="shared" si="1"/>
        <v>409521.05004</v>
      </c>
      <c r="J49" s="88">
        <f t="shared" si="2"/>
        <v>886431.6399600001</v>
      </c>
      <c r="K49" s="88">
        <f>Accounting!G46</f>
        <v>7</v>
      </c>
      <c r="L49" s="88">
        <f>Accounting!G47</f>
        <v>3</v>
      </c>
      <c r="M49" s="88">
        <f>SUM(Accounting!G48:G49)</f>
        <v>0.5</v>
      </c>
      <c r="N49" s="88">
        <f>'[1]Academic Dept Faculty and Staff'!$O$8</f>
        <v>3</v>
      </c>
      <c r="O49" s="88">
        <f>'[1]Academic Dept Faculty and Staff'!$O$10</f>
        <v>1</v>
      </c>
      <c r="P49" s="88">
        <f>'[1]Academic Dept Faculty and Staff'!$O$12</f>
        <v>1</v>
      </c>
      <c r="Q49" s="88"/>
      <c r="R49" s="88">
        <f>'[1]Academic Dept Faculty and Staff'!$O$21</f>
        <v>3</v>
      </c>
      <c r="S49" s="88">
        <f>'[1]Academic Dept Faculty and Staff'!$O$17</f>
        <v>4</v>
      </c>
      <c r="T49" s="88">
        <f>'[1]Academic Dept Faculty and Staff'!$O$4</f>
        <v>2</v>
      </c>
      <c r="U49" s="88"/>
      <c r="W49" s="264" t="s">
        <v>681</v>
      </c>
      <c r="X49" s="265">
        <v>1067</v>
      </c>
      <c r="Y49" s="264">
        <v>21</v>
      </c>
    </row>
    <row r="50" spans="1:25" ht="11.25">
      <c r="A50" t="s">
        <v>189</v>
      </c>
      <c r="B50" s="1">
        <v>0</v>
      </c>
      <c r="C50" s="1">
        <v>5</v>
      </c>
      <c r="D50" s="86">
        <f t="shared" si="0"/>
        <v>0</v>
      </c>
      <c r="F50" s="88">
        <v>2166746.11</v>
      </c>
      <c r="G50" s="86">
        <f>Chemistry!G24</f>
        <v>0.116</v>
      </c>
      <c r="H50" s="86">
        <f>Chemistry!G25</f>
        <v>0.884</v>
      </c>
      <c r="I50" s="88">
        <f t="shared" si="1"/>
        <v>251342.54876</v>
      </c>
      <c r="J50" s="88">
        <f t="shared" si="2"/>
        <v>1915403.56124</v>
      </c>
      <c r="K50" s="88">
        <f>Chemistry!G46</f>
        <v>12</v>
      </c>
      <c r="L50" s="88">
        <f>Chemistry!G47</f>
        <v>1</v>
      </c>
      <c r="M50" s="88">
        <f>SUM(Chemistry!G48:G49)</f>
        <v>1.17</v>
      </c>
      <c r="N50" s="88"/>
      <c r="O50" s="88"/>
      <c r="P50" s="88"/>
      <c r="Q50" s="88"/>
      <c r="R50" s="88"/>
      <c r="S50" s="88"/>
      <c r="T50" s="88"/>
      <c r="U50" s="88"/>
      <c r="W50" s="264" t="s">
        <v>664</v>
      </c>
      <c r="X50" s="252">
        <v>0.9526785714285714</v>
      </c>
      <c r="Y50" s="252">
        <v>0.5384615384615384</v>
      </c>
    </row>
    <row r="51" spans="1:25" ht="11.25">
      <c r="A51" t="s">
        <v>399</v>
      </c>
      <c r="B51" s="1">
        <v>0</v>
      </c>
      <c r="C51" s="1">
        <v>5</v>
      </c>
      <c r="D51" s="86">
        <f t="shared" si="0"/>
        <v>0</v>
      </c>
      <c r="F51" s="88">
        <v>739121.365</v>
      </c>
      <c r="G51" s="86"/>
      <c r="H51" s="86"/>
      <c r="I51" s="88">
        <f t="shared" si="1"/>
        <v>0</v>
      </c>
      <c r="J51" s="88">
        <f t="shared" si="2"/>
        <v>0</v>
      </c>
      <c r="K51" s="88"/>
      <c r="L51" s="88"/>
      <c r="M51" s="88"/>
      <c r="N51" s="88"/>
      <c r="O51" s="88"/>
      <c r="P51" s="88"/>
      <c r="Q51" s="88"/>
      <c r="R51" s="88"/>
      <c r="S51" s="88"/>
      <c r="T51" s="88"/>
      <c r="U51" s="88"/>
      <c r="W51" s="264"/>
      <c r="X51" s="252"/>
      <c r="Y51" s="252"/>
    </row>
    <row r="52" spans="1:25" ht="11.25">
      <c r="A52" t="s">
        <v>196</v>
      </c>
      <c r="B52" s="1">
        <v>0</v>
      </c>
      <c r="C52" s="1">
        <v>5</v>
      </c>
      <c r="D52" s="86">
        <f t="shared" si="0"/>
        <v>0</v>
      </c>
      <c r="F52" s="88">
        <v>444339.54999999993</v>
      </c>
      <c r="G52" s="86"/>
      <c r="H52" s="86"/>
      <c r="I52" s="88">
        <f t="shared" si="1"/>
        <v>0</v>
      </c>
      <c r="J52" s="88">
        <f t="shared" si="2"/>
        <v>0</v>
      </c>
      <c r="K52" s="88"/>
      <c r="L52" s="88"/>
      <c r="M52" s="88"/>
      <c r="N52" s="88"/>
      <c r="O52" s="88"/>
      <c r="P52" s="88"/>
      <c r="Q52" s="88"/>
      <c r="R52" s="88"/>
      <c r="S52" s="88"/>
      <c r="T52" s="88"/>
      <c r="U52" s="88"/>
      <c r="W52" s="264" t="s">
        <v>661</v>
      </c>
      <c r="X52" s="265">
        <v>1120</v>
      </c>
      <c r="Y52" s="264">
        <v>39</v>
      </c>
    </row>
    <row r="53" spans="1:25" ht="11.25">
      <c r="A53" t="s">
        <v>152</v>
      </c>
      <c r="B53" s="1">
        <v>0</v>
      </c>
      <c r="C53" s="1">
        <v>5</v>
      </c>
      <c r="D53" s="86">
        <f t="shared" si="0"/>
        <v>0</v>
      </c>
      <c r="F53" s="88">
        <v>3351697.53</v>
      </c>
      <c r="G53" s="86"/>
      <c r="H53" s="86"/>
      <c r="I53" s="88">
        <f t="shared" si="1"/>
        <v>0</v>
      </c>
      <c r="J53" s="88">
        <f t="shared" si="2"/>
        <v>0</v>
      </c>
      <c r="K53" s="88"/>
      <c r="L53" s="88"/>
      <c r="M53" s="88"/>
      <c r="N53" s="88"/>
      <c r="O53" s="88"/>
      <c r="P53" s="88"/>
      <c r="Q53" s="88"/>
      <c r="R53" s="88"/>
      <c r="S53" s="88"/>
      <c r="T53" s="88"/>
      <c r="U53" s="88"/>
      <c r="W53" s="264" t="s">
        <v>680</v>
      </c>
      <c r="X53" s="265">
        <v>1116</v>
      </c>
      <c r="Y53" s="264">
        <v>25</v>
      </c>
    </row>
    <row r="54" spans="1:25" ht="11.25">
      <c r="A54" t="s">
        <v>557</v>
      </c>
      <c r="B54" s="1">
        <v>0</v>
      </c>
      <c r="C54" s="1">
        <v>5</v>
      </c>
      <c r="D54" s="86">
        <f t="shared" si="0"/>
        <v>0</v>
      </c>
      <c r="F54" s="88">
        <v>2063424.7199999997</v>
      </c>
      <c r="G54" s="86"/>
      <c r="H54" s="86"/>
      <c r="I54" s="88">
        <f t="shared" si="1"/>
        <v>0</v>
      </c>
      <c r="J54" s="88">
        <f t="shared" si="2"/>
        <v>0</v>
      </c>
      <c r="K54" s="88"/>
      <c r="L54" s="88"/>
      <c r="M54" s="88"/>
      <c r="N54" s="88"/>
      <c r="O54" s="88"/>
      <c r="P54" s="88"/>
      <c r="Q54" s="88"/>
      <c r="R54" s="88"/>
      <c r="S54" s="88"/>
      <c r="T54" s="88"/>
      <c r="U54" s="88"/>
      <c r="W54" s="264" t="s">
        <v>664</v>
      </c>
      <c r="X54" s="252">
        <v>0.9964285714285714</v>
      </c>
      <c r="Y54" s="252">
        <v>0.6410256410256411</v>
      </c>
    </row>
    <row r="55" spans="1:21" ht="11.25">
      <c r="A55" t="s">
        <v>161</v>
      </c>
      <c r="B55" s="1">
        <v>0</v>
      </c>
      <c r="C55" s="1">
        <v>5</v>
      </c>
      <c r="D55" s="86">
        <f t="shared" si="0"/>
        <v>0</v>
      </c>
      <c r="F55" s="88">
        <v>535507.8400000001</v>
      </c>
      <c r="G55" s="86"/>
      <c r="H55" s="86"/>
      <c r="I55" s="88">
        <f t="shared" si="1"/>
        <v>0</v>
      </c>
      <c r="J55" s="88">
        <f t="shared" si="2"/>
        <v>0</v>
      </c>
      <c r="K55" s="88"/>
      <c r="L55" s="88"/>
      <c r="M55" s="88"/>
      <c r="N55" s="88"/>
      <c r="O55" s="88"/>
      <c r="P55" s="88"/>
      <c r="Q55" s="88"/>
      <c r="R55" s="88"/>
      <c r="S55" s="88"/>
      <c r="T55" s="88"/>
      <c r="U55" s="88"/>
    </row>
    <row r="56" spans="1:21" ht="11.25">
      <c r="A56" t="s">
        <v>446</v>
      </c>
      <c r="B56" s="1">
        <v>0</v>
      </c>
      <c r="C56" s="1">
        <v>5</v>
      </c>
      <c r="D56" s="86">
        <f t="shared" si="0"/>
        <v>0</v>
      </c>
      <c r="F56" s="88">
        <v>370832.16</v>
      </c>
      <c r="G56" s="86"/>
      <c r="H56" s="86"/>
      <c r="I56" s="88">
        <f t="shared" si="1"/>
        <v>0</v>
      </c>
      <c r="J56" s="88">
        <f t="shared" si="2"/>
        <v>0</v>
      </c>
      <c r="K56" s="88"/>
      <c r="L56" s="88"/>
      <c r="M56" s="88"/>
      <c r="N56" s="88"/>
      <c r="O56" s="88"/>
      <c r="P56" s="88"/>
      <c r="Q56" s="88"/>
      <c r="R56" s="88"/>
      <c r="S56" s="88"/>
      <c r="T56" s="88"/>
      <c r="U56" s="88"/>
    </row>
    <row r="57" spans="2:21" ht="11.25">
      <c r="B57" s="1"/>
      <c r="C57" s="1"/>
      <c r="D57" s="86"/>
      <c r="F57" s="88"/>
      <c r="G57" s="86"/>
      <c r="H57" s="86"/>
      <c r="I57" s="88"/>
      <c r="J57" s="88"/>
      <c r="K57" s="88"/>
      <c r="L57" s="88"/>
      <c r="M57" s="88"/>
      <c r="N57" s="88"/>
      <c r="O57" s="88"/>
      <c r="P57" s="88"/>
      <c r="Q57" s="88"/>
      <c r="R57" s="88"/>
      <c r="S57" s="88"/>
      <c r="T57" s="88"/>
      <c r="U57" s="88"/>
    </row>
    <row r="58" spans="2:21" ht="11.25">
      <c r="B58" s="1"/>
      <c r="C58" s="1"/>
      <c r="D58" s="86"/>
      <c r="F58" s="88">
        <f>SUM(F19:F56)</f>
        <v>43553979.25999999</v>
      </c>
      <c r="G58" s="278"/>
      <c r="H58" s="86"/>
      <c r="I58" s="88"/>
      <c r="J58" s="88"/>
      <c r="K58" s="88"/>
      <c r="L58" s="88"/>
      <c r="M58" s="88"/>
      <c r="N58" s="88"/>
      <c r="O58" s="88"/>
      <c r="P58" s="88"/>
      <c r="Q58" s="88"/>
      <c r="R58" s="88"/>
      <c r="S58" s="88"/>
      <c r="T58" s="88"/>
      <c r="U58" s="88"/>
    </row>
    <row r="61" spans="1:4" ht="11.25">
      <c r="A61" s="203" t="s">
        <v>521</v>
      </c>
      <c r="B61" s="202" t="s">
        <v>522</v>
      </c>
      <c r="C61" s="1"/>
      <c r="D61" s="1"/>
    </row>
    <row r="62" spans="1:4" ht="11.25">
      <c r="A62" s="175" t="s">
        <v>420</v>
      </c>
      <c r="B62" s="1" t="s">
        <v>530</v>
      </c>
      <c r="C62" s="1"/>
      <c r="D62" s="1"/>
    </row>
    <row r="63" spans="1:4" ht="11.25">
      <c r="A63" s="175" t="s">
        <v>531</v>
      </c>
      <c r="B63" s="1" t="s">
        <v>532</v>
      </c>
      <c r="C63" s="1"/>
      <c r="D63" s="1"/>
    </row>
    <row r="64" spans="1:4" ht="11.25">
      <c r="A64" s="175" t="s">
        <v>524</v>
      </c>
      <c r="B64" s="1" t="s">
        <v>525</v>
      </c>
      <c r="C64" s="1"/>
      <c r="D64" s="1"/>
    </row>
    <row r="65" spans="1:4" ht="11.25">
      <c r="A65" s="175" t="s">
        <v>430</v>
      </c>
      <c r="B65" s="1" t="s">
        <v>539</v>
      </c>
      <c r="C65" s="1"/>
      <c r="D65" s="1"/>
    </row>
    <row r="66" spans="1:4" ht="11.25">
      <c r="A66" s="175" t="s">
        <v>534</v>
      </c>
      <c r="B66" s="1" t="s">
        <v>536</v>
      </c>
      <c r="C66" s="1"/>
      <c r="D66" s="1"/>
    </row>
    <row r="67" spans="1:4" ht="11.25">
      <c r="A67" s="175" t="s">
        <v>526</v>
      </c>
      <c r="B67" s="1" t="s">
        <v>527</v>
      </c>
      <c r="C67" s="1"/>
      <c r="D67" s="1"/>
    </row>
    <row r="68" spans="1:2" ht="11.25">
      <c r="A68" s="175" t="s">
        <v>280</v>
      </c>
      <c r="B68" s="1" t="s">
        <v>571</v>
      </c>
    </row>
    <row r="69" spans="1:4" ht="11.25">
      <c r="A69" s="175" t="s">
        <v>240</v>
      </c>
      <c r="B69" s="1" t="s">
        <v>540</v>
      </c>
      <c r="C69" s="1"/>
      <c r="D69" s="1"/>
    </row>
    <row r="70" spans="1:4" ht="11.25">
      <c r="A70" s="175" t="s">
        <v>314</v>
      </c>
      <c r="B70" s="1" t="s">
        <v>541</v>
      </c>
      <c r="C70" s="1"/>
      <c r="D70" s="1"/>
    </row>
    <row r="71" spans="1:4" ht="11.25">
      <c r="A71" s="175" t="s">
        <v>353</v>
      </c>
      <c r="B71" s="1" t="s">
        <v>529</v>
      </c>
      <c r="C71" s="1"/>
      <c r="D71" s="1"/>
    </row>
    <row r="72" spans="1:4" ht="11.25">
      <c r="A72" s="175" t="s">
        <v>236</v>
      </c>
      <c r="B72" s="1" t="s">
        <v>523</v>
      </c>
      <c r="C72" s="1"/>
      <c r="D72" s="1"/>
    </row>
    <row r="73" spans="1:4" ht="11.25">
      <c r="A73" s="175" t="s">
        <v>329</v>
      </c>
      <c r="B73" s="1" t="s">
        <v>528</v>
      </c>
      <c r="C73" s="1"/>
      <c r="D73" s="1"/>
    </row>
    <row r="74" spans="1:4" ht="11.25">
      <c r="A74" s="175" t="s">
        <v>335</v>
      </c>
      <c r="B74" s="1" t="s">
        <v>528</v>
      </c>
      <c r="C74" s="1"/>
      <c r="D74" s="1"/>
    </row>
    <row r="75" spans="1:4" ht="11.25">
      <c r="A75" s="175" t="s">
        <v>359</v>
      </c>
      <c r="B75" s="1" t="s">
        <v>535</v>
      </c>
      <c r="C75" s="1"/>
      <c r="D75" s="1"/>
    </row>
    <row r="76" spans="1:4" ht="11.25">
      <c r="A76" s="175" t="s">
        <v>382</v>
      </c>
      <c r="B76" s="1" t="s">
        <v>533</v>
      </c>
      <c r="C76" s="1"/>
      <c r="D76" s="1"/>
    </row>
    <row r="77" spans="1:4" ht="11.25">
      <c r="A77" s="175" t="s">
        <v>367</v>
      </c>
      <c r="B77" s="1" t="s">
        <v>542</v>
      </c>
      <c r="C77" s="1"/>
      <c r="D77" s="1"/>
    </row>
    <row r="78" spans="1:4" ht="11.25">
      <c r="A78" s="175" t="s">
        <v>537</v>
      </c>
      <c r="B78" s="1" t="s">
        <v>538</v>
      </c>
      <c r="C78" s="1"/>
      <c r="D78" s="1"/>
    </row>
    <row r="85" ht="11.25">
      <c r="W85" s="88"/>
    </row>
    <row r="86" ht="11.25">
      <c r="W86" s="88"/>
    </row>
    <row r="87" ht="11.25">
      <c r="W87" s="88"/>
    </row>
    <row r="88" ht="11.25">
      <c r="W88" s="88"/>
    </row>
    <row r="89" ht="11.25">
      <c r="W89" s="88"/>
    </row>
    <row r="90" ht="11.25">
      <c r="W90" s="88"/>
    </row>
    <row r="91" ht="11.25">
      <c r="W91" s="88"/>
    </row>
    <row r="92" ht="11.25">
      <c r="W92" s="88"/>
    </row>
    <row r="93" ht="11.25">
      <c r="W93" s="88"/>
    </row>
    <row r="94" ht="11.25">
      <c r="W94" s="88"/>
    </row>
    <row r="95" ht="11.25">
      <c r="W95" s="88"/>
    </row>
    <row r="96" ht="11.25">
      <c r="W96" s="88"/>
    </row>
    <row r="97" ht="11.25">
      <c r="W97" s="88"/>
    </row>
    <row r="98" ht="11.25">
      <c r="W98" s="88"/>
    </row>
    <row r="99" ht="11.25">
      <c r="W99" s="88"/>
    </row>
    <row r="100" ht="11.25">
      <c r="W100" s="88"/>
    </row>
    <row r="101" ht="11.25">
      <c r="W101" s="88"/>
    </row>
    <row r="102" ht="11.25">
      <c r="W102" s="88"/>
    </row>
    <row r="103" ht="11.25">
      <c r="W103" s="88"/>
    </row>
    <row r="104" ht="11.25">
      <c r="W104" s="88"/>
    </row>
    <row r="105" ht="11.25">
      <c r="W105" s="88"/>
    </row>
    <row r="106" ht="11.25">
      <c r="W106" s="88"/>
    </row>
    <row r="107" ht="11.25">
      <c r="W107" s="88"/>
    </row>
    <row r="108" ht="11.25">
      <c r="W108" s="88"/>
    </row>
    <row r="109" ht="11.25">
      <c r="W109" s="88"/>
    </row>
    <row r="110" ht="11.25">
      <c r="W110" s="88"/>
    </row>
    <row r="111" ht="11.25">
      <c r="W111" s="88"/>
    </row>
    <row r="112" ht="11.25">
      <c r="W112" s="88"/>
    </row>
    <row r="113" ht="11.25">
      <c r="W113" s="88"/>
    </row>
    <row r="114" ht="11.25">
      <c r="W114" s="88"/>
    </row>
    <row r="115" ht="11.25">
      <c r="W115" s="88"/>
    </row>
    <row r="116" ht="11.25">
      <c r="W116" s="88"/>
    </row>
    <row r="117" ht="11.25">
      <c r="W117" s="88"/>
    </row>
    <row r="118" ht="11.25">
      <c r="W118" s="88"/>
    </row>
    <row r="119" ht="11.25">
      <c r="W119" s="88"/>
    </row>
    <row r="120" ht="11.25">
      <c r="W120" s="88"/>
    </row>
    <row r="121" ht="11.25">
      <c r="W121" s="88"/>
    </row>
    <row r="122" ht="11.25">
      <c r="W122" s="88"/>
    </row>
  </sheetData>
  <mergeCells count="12">
    <mergeCell ref="B17:D17"/>
    <mergeCell ref="W17:X17"/>
    <mergeCell ref="W3:X3"/>
    <mergeCell ref="W7:X7"/>
    <mergeCell ref="Z7:AA7"/>
    <mergeCell ref="W11:X11"/>
    <mergeCell ref="Z11:AA11"/>
    <mergeCell ref="W20:X20"/>
    <mergeCell ref="W25:Y25"/>
    <mergeCell ref="W42:Y42"/>
    <mergeCell ref="G17:H17"/>
    <mergeCell ref="K17:M17"/>
  </mergeCells>
  <conditionalFormatting sqref="D19:D58">
    <cfRule type="top10" priority="2" dxfId="42" rank="10" bottom="1" percent="1"/>
    <cfRule type="top10" priority="3" dxfId="0" rank="30" percent="1"/>
  </conditionalFormatting>
  <printOptions/>
  <pageMargins left="0.25" right="0.25" top="0.75" bottom="0.75" header="0.3" footer="0.3"/>
  <pageSetup fitToHeight="1" fitToWidth="1" horizontalDpi="600" verticalDpi="600" orientation="landscape" scale="82"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V66"/>
  <sheetViews>
    <sheetView showGridLines="0" tabSelected="1" workbookViewId="0" topLeftCell="A1">
      <selection activeCell="G29" sqref="G29:H29"/>
    </sheetView>
  </sheetViews>
  <sheetFormatPr defaultColWidth="9.00390625" defaultRowHeight="11.25"/>
  <cols>
    <col min="1" max="1" width="4.625" style="1" customWidth="1"/>
    <col min="2" max="5" width="9.00390625" style="1" customWidth="1"/>
    <col min="6" max="6" width="7.125" style="1" customWidth="1"/>
    <col min="7" max="8" width="9.125" style="1" customWidth="1"/>
    <col min="9" max="9" width="1.75390625" style="1" customWidth="1"/>
    <col min="10" max="11" width="9.125" style="1" customWidth="1"/>
    <col min="12" max="12" width="1.75390625" style="1" customWidth="1"/>
    <col min="13" max="14" width="9.125" style="1" customWidth="1"/>
    <col min="15" max="15" width="3.75390625" style="10" customWidth="1"/>
    <col min="16" max="16384" width="9.00390625" style="10" customWidth="1"/>
  </cols>
  <sheetData>
    <row r="1" spans="1:14" s="12" customFormat="1" ht="11.25">
      <c r="A1" s="17" t="s">
        <v>88</v>
      </c>
      <c r="B1" s="18"/>
      <c r="C1" s="18"/>
      <c r="D1" s="18"/>
      <c r="E1" s="18"/>
      <c r="F1" s="18"/>
      <c r="G1" s="18"/>
      <c r="H1" s="18"/>
      <c r="I1" s="18"/>
      <c r="J1" s="18"/>
      <c r="K1" s="18"/>
      <c r="L1" s="18"/>
      <c r="M1" s="18"/>
      <c r="N1" s="19"/>
    </row>
    <row r="2" spans="1:16" s="12" customFormat="1" ht="11.25">
      <c r="A2" s="20" t="s">
        <v>89</v>
      </c>
      <c r="B2" s="15"/>
      <c r="C2" s="15"/>
      <c r="D2" s="15"/>
      <c r="E2" s="15"/>
      <c r="F2" s="15"/>
      <c r="G2" s="328" t="s">
        <v>26</v>
      </c>
      <c r="H2" s="328"/>
      <c r="I2" s="328"/>
      <c r="J2" s="328"/>
      <c r="K2" s="328"/>
      <c r="L2" s="328"/>
      <c r="M2" s="328"/>
      <c r="N2" s="329"/>
      <c r="P2" s="43" t="s">
        <v>27</v>
      </c>
    </row>
    <row r="3" spans="1:14" ht="11.25">
      <c r="A3" s="45"/>
      <c r="B3" s="2"/>
      <c r="C3" s="2"/>
      <c r="D3" s="2"/>
      <c r="E3" s="2"/>
      <c r="F3" s="16" t="s">
        <v>14</v>
      </c>
      <c r="G3" s="330">
        <v>19</v>
      </c>
      <c r="H3" s="327"/>
      <c r="I3" s="2"/>
      <c r="J3" s="330">
        <v>18</v>
      </c>
      <c r="K3" s="327"/>
      <c r="L3" s="2"/>
      <c r="M3" s="330">
        <v>17</v>
      </c>
      <c r="N3" s="331"/>
    </row>
    <row r="4" spans="1:14" ht="11.25">
      <c r="A4" s="20"/>
      <c r="B4" s="2"/>
      <c r="C4" s="2"/>
      <c r="D4" s="2"/>
      <c r="E4" s="2"/>
      <c r="F4" s="16" t="s">
        <v>15</v>
      </c>
      <c r="G4" s="330" t="s">
        <v>80</v>
      </c>
      <c r="H4" s="327"/>
      <c r="I4" s="2"/>
      <c r="J4" s="330" t="s">
        <v>81</v>
      </c>
      <c r="K4" s="327"/>
      <c r="L4" s="2"/>
      <c r="M4" s="330" t="s">
        <v>82</v>
      </c>
      <c r="N4" s="331"/>
    </row>
    <row r="5" spans="1:14" ht="11.25">
      <c r="A5" s="20"/>
      <c r="B5" s="2"/>
      <c r="C5" s="2"/>
      <c r="D5" s="2"/>
      <c r="E5" s="2"/>
      <c r="F5" s="16" t="s">
        <v>16</v>
      </c>
      <c r="G5" s="321" t="s">
        <v>92</v>
      </c>
      <c r="H5" s="322"/>
      <c r="I5" s="2"/>
      <c r="J5" s="28"/>
      <c r="K5" s="28"/>
      <c r="L5" s="28"/>
      <c r="M5" s="28"/>
      <c r="N5" s="33"/>
    </row>
    <row r="6" spans="1:14" ht="11.25">
      <c r="A6" s="20"/>
      <c r="B6" s="2"/>
      <c r="C6" s="2"/>
      <c r="D6" s="2"/>
      <c r="E6" s="2"/>
      <c r="F6" s="16" t="s">
        <v>17</v>
      </c>
      <c r="G6" s="323" t="s">
        <v>93</v>
      </c>
      <c r="H6" s="323"/>
      <c r="I6" s="2"/>
      <c r="J6" s="28"/>
      <c r="K6" s="28"/>
      <c r="L6" s="28"/>
      <c r="M6" s="28"/>
      <c r="N6" s="33"/>
    </row>
    <row r="7" spans="1:14" ht="11.25">
      <c r="A7" s="20"/>
      <c r="B7" s="2"/>
      <c r="C7" s="2"/>
      <c r="D7" s="2"/>
      <c r="E7" s="2"/>
      <c r="F7" s="16" t="s">
        <v>33</v>
      </c>
      <c r="G7" s="324" t="s">
        <v>94</v>
      </c>
      <c r="H7" s="325"/>
      <c r="I7" s="2"/>
      <c r="J7" s="28"/>
      <c r="K7" s="28"/>
      <c r="L7" s="28"/>
      <c r="M7" s="28"/>
      <c r="N7" s="33"/>
    </row>
    <row r="8" spans="1:14" ht="11.25">
      <c r="A8" s="20"/>
      <c r="B8" s="2"/>
      <c r="C8" s="2"/>
      <c r="D8" s="2"/>
      <c r="E8" s="2"/>
      <c r="F8" s="16" t="s">
        <v>18</v>
      </c>
      <c r="G8" s="326">
        <v>43929</v>
      </c>
      <c r="H8" s="327"/>
      <c r="I8" s="2"/>
      <c r="J8" s="28"/>
      <c r="K8" s="28"/>
      <c r="L8" s="28"/>
      <c r="M8" s="28"/>
      <c r="N8" s="33"/>
    </row>
    <row r="9" spans="1:14" ht="12.75">
      <c r="A9" s="21" t="s">
        <v>2</v>
      </c>
      <c r="B9" s="22"/>
      <c r="C9" s="4"/>
      <c r="D9" s="4"/>
      <c r="E9" s="3"/>
      <c r="F9" s="3"/>
      <c r="G9" s="319"/>
      <c r="H9" s="319"/>
      <c r="I9" s="3"/>
      <c r="J9" s="319"/>
      <c r="K9" s="319"/>
      <c r="L9" s="3"/>
      <c r="M9" s="319"/>
      <c r="N9" s="320"/>
    </row>
    <row r="10" spans="1:15" ht="12.75">
      <c r="A10" s="20"/>
      <c r="B10" s="22" t="s">
        <v>56</v>
      </c>
      <c r="C10" s="4"/>
      <c r="D10" s="4"/>
      <c r="E10" s="3"/>
      <c r="F10" s="29"/>
      <c r="G10" s="58"/>
      <c r="H10" s="58"/>
      <c r="I10" s="5"/>
      <c r="J10" s="58"/>
      <c r="K10" s="58"/>
      <c r="L10" s="5"/>
      <c r="M10" s="58"/>
      <c r="N10" s="59"/>
      <c r="O10" s="11"/>
    </row>
    <row r="11" spans="1:16" ht="11.25">
      <c r="A11" s="20"/>
      <c r="B11" s="22"/>
      <c r="C11" s="6"/>
      <c r="D11" s="6"/>
      <c r="E11" s="7"/>
      <c r="F11" s="30" t="s">
        <v>7</v>
      </c>
      <c r="G11" s="313">
        <v>11002</v>
      </c>
      <c r="H11" s="314"/>
      <c r="I11" s="5"/>
      <c r="J11" s="313">
        <v>11108</v>
      </c>
      <c r="K11" s="314"/>
      <c r="L11" s="5"/>
      <c r="M11" s="313">
        <v>11399</v>
      </c>
      <c r="N11" s="315"/>
      <c r="P11" s="10" t="s">
        <v>28</v>
      </c>
    </row>
    <row r="12" spans="1:16" ht="12.75">
      <c r="A12" s="20"/>
      <c r="B12" s="22"/>
      <c r="C12" s="4"/>
      <c r="D12" s="4"/>
      <c r="E12" s="3"/>
      <c r="F12" s="29" t="s">
        <v>5</v>
      </c>
      <c r="G12" s="316">
        <v>-0.01</v>
      </c>
      <c r="H12" s="317"/>
      <c r="I12" s="5"/>
      <c r="J12" s="316">
        <v>-0.026</v>
      </c>
      <c r="K12" s="317"/>
      <c r="L12" s="5"/>
      <c r="M12" s="316">
        <v>-0.066</v>
      </c>
      <c r="N12" s="318"/>
      <c r="O12" s="11"/>
      <c r="P12" s="10" t="s">
        <v>29</v>
      </c>
    </row>
    <row r="13" spans="1:16" ht="12.75">
      <c r="A13" s="20"/>
      <c r="B13" s="22"/>
      <c r="C13" s="4"/>
      <c r="D13" s="4"/>
      <c r="E13" s="3"/>
      <c r="F13" s="29" t="s">
        <v>53</v>
      </c>
      <c r="G13" s="313">
        <v>1</v>
      </c>
      <c r="H13" s="314"/>
      <c r="I13" s="5"/>
      <c r="J13" s="313">
        <v>1</v>
      </c>
      <c r="K13" s="314"/>
      <c r="L13" s="5"/>
      <c r="M13" s="313">
        <v>1</v>
      </c>
      <c r="N13" s="315"/>
      <c r="O13" s="11"/>
      <c r="P13" s="10" t="s">
        <v>71</v>
      </c>
    </row>
    <row r="14" spans="1:16" ht="12.75">
      <c r="A14" s="20"/>
      <c r="B14" s="22"/>
      <c r="C14" s="4"/>
      <c r="D14" s="4"/>
      <c r="E14" s="3"/>
      <c r="F14" s="29" t="s">
        <v>54</v>
      </c>
      <c r="G14" s="313">
        <v>223</v>
      </c>
      <c r="H14" s="314"/>
      <c r="I14" s="5"/>
      <c r="J14" s="313">
        <v>226</v>
      </c>
      <c r="K14" s="314"/>
      <c r="L14" s="5"/>
      <c r="M14" s="313">
        <v>256</v>
      </c>
      <c r="N14" s="315"/>
      <c r="O14" s="11"/>
      <c r="P14" s="10" t="s">
        <v>70</v>
      </c>
    </row>
    <row r="15" spans="1:16" ht="12.75">
      <c r="A15" s="20"/>
      <c r="B15" s="22"/>
      <c r="C15" s="4"/>
      <c r="D15" s="4"/>
      <c r="E15" s="3"/>
      <c r="F15" s="29" t="s">
        <v>55</v>
      </c>
      <c r="G15" s="313">
        <v>60</v>
      </c>
      <c r="H15" s="314"/>
      <c r="I15" s="5"/>
      <c r="J15" s="313">
        <v>97</v>
      </c>
      <c r="K15" s="314"/>
      <c r="L15" s="5"/>
      <c r="M15" s="313">
        <v>72</v>
      </c>
      <c r="N15" s="315"/>
      <c r="O15" s="11"/>
      <c r="P15" s="10" t="s">
        <v>69</v>
      </c>
    </row>
    <row r="16" spans="1:16" ht="12.75">
      <c r="A16" s="20"/>
      <c r="B16" s="22"/>
      <c r="C16" s="4"/>
      <c r="D16" s="4"/>
      <c r="E16" s="3"/>
      <c r="F16" s="29" t="s">
        <v>78</v>
      </c>
      <c r="G16" s="313">
        <v>98</v>
      </c>
      <c r="H16" s="314"/>
      <c r="I16" s="5"/>
      <c r="J16" s="313">
        <v>77</v>
      </c>
      <c r="K16" s="314"/>
      <c r="L16" s="5"/>
      <c r="M16" s="313">
        <v>69</v>
      </c>
      <c r="N16" s="315"/>
      <c r="O16" s="11"/>
      <c r="P16" s="10" t="s">
        <v>86</v>
      </c>
    </row>
    <row r="17" spans="1:15" ht="12.75">
      <c r="A17" s="20"/>
      <c r="B17" s="22" t="s">
        <v>57</v>
      </c>
      <c r="C17" s="4"/>
      <c r="D17" s="4"/>
      <c r="E17" s="3"/>
      <c r="F17" s="29"/>
      <c r="G17" s="58"/>
      <c r="H17" s="58"/>
      <c r="I17" s="5"/>
      <c r="J17" s="58"/>
      <c r="K17" s="58"/>
      <c r="L17" s="5"/>
      <c r="M17" s="58"/>
      <c r="N17" s="59"/>
      <c r="O17" s="11"/>
    </row>
    <row r="18" spans="1:16" ht="11.25">
      <c r="A18" s="20"/>
      <c r="B18" s="22"/>
      <c r="C18" s="6"/>
      <c r="D18" s="6"/>
      <c r="E18" s="7"/>
      <c r="F18" s="30" t="s">
        <v>7</v>
      </c>
      <c r="G18" s="313">
        <v>777</v>
      </c>
      <c r="H18" s="314"/>
      <c r="I18" s="5"/>
      <c r="J18" s="313">
        <v>484</v>
      </c>
      <c r="K18" s="314"/>
      <c r="L18" s="5"/>
      <c r="M18" s="313">
        <v>116</v>
      </c>
      <c r="N18" s="315"/>
      <c r="P18" s="10" t="s">
        <v>28</v>
      </c>
    </row>
    <row r="19" spans="1:16" ht="12.75">
      <c r="A19" s="20"/>
      <c r="B19" s="22"/>
      <c r="C19" s="4"/>
      <c r="D19" s="4"/>
      <c r="E19" s="3"/>
      <c r="F19" s="29" t="s">
        <v>5</v>
      </c>
      <c r="G19" s="316">
        <v>0.605</v>
      </c>
      <c r="H19" s="317"/>
      <c r="I19" s="5"/>
      <c r="J19" s="316">
        <v>3.172</v>
      </c>
      <c r="K19" s="317"/>
      <c r="L19" s="5"/>
      <c r="M19" s="316">
        <v>7.923</v>
      </c>
      <c r="N19" s="318"/>
      <c r="O19" s="11"/>
      <c r="P19" s="10" t="s">
        <v>29</v>
      </c>
    </row>
    <row r="20" spans="1:16" ht="12.75">
      <c r="A20" s="20"/>
      <c r="B20" s="22"/>
      <c r="C20" s="4"/>
      <c r="D20" s="4"/>
      <c r="E20" s="3"/>
      <c r="F20" s="29" t="s">
        <v>58</v>
      </c>
      <c r="G20" s="313">
        <v>1</v>
      </c>
      <c r="H20" s="314"/>
      <c r="I20" s="5"/>
      <c r="J20" s="313">
        <v>1</v>
      </c>
      <c r="K20" s="314"/>
      <c r="L20" s="5"/>
      <c r="M20" s="313">
        <v>0</v>
      </c>
      <c r="N20" s="315"/>
      <c r="O20" s="11"/>
      <c r="P20" s="10" t="s">
        <v>71</v>
      </c>
    </row>
    <row r="21" spans="1:16" ht="12.75">
      <c r="A21" s="20"/>
      <c r="B21" s="22"/>
      <c r="C21" s="4"/>
      <c r="D21" s="4"/>
      <c r="E21" s="3"/>
      <c r="F21" s="29" t="s">
        <v>59</v>
      </c>
      <c r="G21" s="313">
        <v>28</v>
      </c>
      <c r="H21" s="314"/>
      <c r="I21" s="5"/>
      <c r="J21" s="313">
        <v>7</v>
      </c>
      <c r="K21" s="314"/>
      <c r="L21" s="5"/>
      <c r="M21" s="313">
        <v>0</v>
      </c>
      <c r="N21" s="315"/>
      <c r="O21" s="11"/>
      <c r="P21" s="10" t="s">
        <v>83</v>
      </c>
    </row>
    <row r="22" spans="1:16" ht="12.75">
      <c r="A22" s="20"/>
      <c r="B22" s="22"/>
      <c r="C22" s="4"/>
      <c r="D22" s="4"/>
      <c r="E22" s="3"/>
      <c r="F22" s="29" t="s">
        <v>78</v>
      </c>
      <c r="G22" s="313">
        <v>19</v>
      </c>
      <c r="H22" s="314"/>
      <c r="I22" s="5"/>
      <c r="J22" s="313">
        <v>4</v>
      </c>
      <c r="K22" s="314"/>
      <c r="L22" s="5"/>
      <c r="M22" s="313">
        <v>0</v>
      </c>
      <c r="N22" s="315"/>
      <c r="O22" s="11"/>
      <c r="P22" s="10" t="s">
        <v>86</v>
      </c>
    </row>
    <row r="23" spans="1:14" ht="11.25">
      <c r="A23" s="20"/>
      <c r="B23" s="4" t="s">
        <v>6</v>
      </c>
      <c r="C23" s="4"/>
      <c r="D23" s="4"/>
      <c r="E23" s="3"/>
      <c r="F23" s="3"/>
      <c r="G23" s="23"/>
      <c r="H23" s="23"/>
      <c r="I23" s="5"/>
      <c r="J23" s="23"/>
      <c r="K23" s="23"/>
      <c r="L23" s="5"/>
      <c r="M23" s="23"/>
      <c r="N23" s="24"/>
    </row>
    <row r="24" spans="1:16" ht="11.25">
      <c r="A24" s="20"/>
      <c r="B24" s="22"/>
      <c r="C24" s="4"/>
      <c r="D24" s="4"/>
      <c r="E24" s="3"/>
      <c r="F24" s="29" t="s">
        <v>20</v>
      </c>
      <c r="G24" s="293">
        <v>0.316</v>
      </c>
      <c r="H24" s="294"/>
      <c r="I24" s="3"/>
      <c r="J24" s="293">
        <v>0.374</v>
      </c>
      <c r="K24" s="294"/>
      <c r="L24" s="3"/>
      <c r="M24" s="293">
        <v>0.402</v>
      </c>
      <c r="N24" s="295"/>
      <c r="P24" s="10" t="s">
        <v>30</v>
      </c>
    </row>
    <row r="25" spans="1:16" ht="11.25">
      <c r="A25" s="20"/>
      <c r="B25" s="22"/>
      <c r="C25" s="4"/>
      <c r="D25" s="4"/>
      <c r="E25" s="3"/>
      <c r="F25" s="29" t="s">
        <v>21</v>
      </c>
      <c r="G25" s="293">
        <v>0.684</v>
      </c>
      <c r="H25" s="294"/>
      <c r="I25" s="3"/>
      <c r="J25" s="293">
        <v>0.626</v>
      </c>
      <c r="K25" s="294"/>
      <c r="L25" s="3"/>
      <c r="M25" s="293">
        <v>0.598</v>
      </c>
      <c r="N25" s="295"/>
      <c r="P25" s="10" t="s">
        <v>31</v>
      </c>
    </row>
    <row r="26" spans="1:14" ht="11.25">
      <c r="A26" s="62" t="s">
        <v>60</v>
      </c>
      <c r="B26" s="22"/>
      <c r="C26" s="4"/>
      <c r="D26" s="4"/>
      <c r="E26" s="3"/>
      <c r="F26" s="29"/>
      <c r="G26" s="60"/>
      <c r="H26" s="60"/>
      <c r="I26" s="5"/>
      <c r="J26" s="60"/>
      <c r="K26" s="60"/>
      <c r="L26" s="5"/>
      <c r="M26" s="60"/>
      <c r="N26" s="61"/>
    </row>
    <row r="27" spans="1:16" ht="11.25">
      <c r="A27" s="20"/>
      <c r="B27" s="22"/>
      <c r="C27" s="4"/>
      <c r="D27" s="4"/>
      <c r="E27" s="3"/>
      <c r="F27" s="29" t="s">
        <v>61</v>
      </c>
      <c r="G27" s="313">
        <f>831573.55+9199.98+75286+8652.77</f>
        <v>924712.3</v>
      </c>
      <c r="H27" s="314"/>
      <c r="I27" s="5"/>
      <c r="J27" s="313">
        <f>1103226.62+63049.9+8652.77</f>
        <v>1174929.29</v>
      </c>
      <c r="K27" s="314"/>
      <c r="L27" s="5"/>
      <c r="M27" s="313">
        <f>1112725.02+240+21159.94+5000</f>
        <v>1139124.96</v>
      </c>
      <c r="N27" s="315"/>
      <c r="P27" s="10" t="s">
        <v>91</v>
      </c>
    </row>
    <row r="28" spans="1:16" ht="11.25">
      <c r="A28" s="20"/>
      <c r="B28" s="22"/>
      <c r="C28" s="4"/>
      <c r="D28" s="4"/>
      <c r="E28" s="3"/>
      <c r="F28" s="29" t="s">
        <v>62</v>
      </c>
      <c r="G28" s="313">
        <f>18592.57+73422.9+55.88</f>
        <v>92071.35</v>
      </c>
      <c r="H28" s="314"/>
      <c r="I28" s="5"/>
      <c r="J28" s="313">
        <f>17265.52+139.14</f>
        <v>17404.66</v>
      </c>
      <c r="K28" s="314"/>
      <c r="L28" s="5"/>
      <c r="M28" s="313">
        <v>3763.23</v>
      </c>
      <c r="N28" s="315"/>
      <c r="P28" s="10" t="s">
        <v>91</v>
      </c>
    </row>
    <row r="29" spans="1:16" ht="11.25">
      <c r="A29" s="20"/>
      <c r="B29" s="22"/>
      <c r="C29" s="4"/>
      <c r="D29" s="4"/>
      <c r="E29" s="3"/>
      <c r="F29" s="29" t="s">
        <v>63</v>
      </c>
      <c r="G29" s="310">
        <v>279169.04</v>
      </c>
      <c r="H29" s="311"/>
      <c r="I29" s="5"/>
      <c r="J29" s="310">
        <v>321372</v>
      </c>
      <c r="K29" s="311"/>
      <c r="L29" s="5"/>
      <c r="M29" s="310">
        <v>259365.92</v>
      </c>
      <c r="N29" s="312"/>
      <c r="P29" s="10" t="s">
        <v>90</v>
      </c>
    </row>
    <row r="30" spans="1:14" ht="11.25">
      <c r="A30" s="20"/>
      <c r="B30" s="22"/>
      <c r="C30" s="4"/>
      <c r="D30" s="4"/>
      <c r="E30" s="3"/>
      <c r="F30" s="29"/>
      <c r="G30" s="73"/>
      <c r="H30" s="74"/>
      <c r="I30" s="5"/>
      <c r="J30" s="73"/>
      <c r="K30" s="74"/>
      <c r="L30" s="5"/>
      <c r="M30" s="73"/>
      <c r="N30" s="75"/>
    </row>
    <row r="31" spans="1:18" ht="11.25">
      <c r="A31" s="20"/>
      <c r="B31" s="4"/>
      <c r="C31" s="4"/>
      <c r="D31" s="4"/>
      <c r="E31" s="3"/>
      <c r="F31" s="63" t="s">
        <v>64</v>
      </c>
      <c r="G31" s="299">
        <f>SUM(G27:H29)/(G11+G18)</f>
        <v>110.02230155361235</v>
      </c>
      <c r="H31" s="300"/>
      <c r="I31" s="22"/>
      <c r="J31" s="299">
        <f>SUM(J27:K29)/(J11+J18)</f>
        <v>130.58194875776397</v>
      </c>
      <c r="K31" s="300"/>
      <c r="L31" s="22"/>
      <c r="M31" s="299">
        <f>SUM(M27:N29)/(M11+M18)</f>
        <v>121.77630134607033</v>
      </c>
      <c r="N31" s="301"/>
      <c r="O31"/>
      <c r="P31" t="s">
        <v>32</v>
      </c>
      <c r="Q31"/>
      <c r="R31"/>
    </row>
    <row r="32" spans="1:14" ht="11.25">
      <c r="A32" s="21" t="s">
        <v>3</v>
      </c>
      <c r="B32" s="22"/>
      <c r="C32" s="4"/>
      <c r="D32" s="4"/>
      <c r="E32" s="3"/>
      <c r="F32" s="3"/>
      <c r="G32" s="8"/>
      <c r="H32" s="8"/>
      <c r="I32" s="3"/>
      <c r="J32" s="8"/>
      <c r="K32" s="8"/>
      <c r="L32" s="3"/>
      <c r="M32" s="8"/>
      <c r="N32" s="25"/>
    </row>
    <row r="33" spans="1:22" ht="11.25">
      <c r="A33" s="20"/>
      <c r="B33" s="22"/>
      <c r="C33" s="4"/>
      <c r="D33" s="48"/>
      <c r="E33" s="49"/>
      <c r="F33" s="50" t="s">
        <v>43</v>
      </c>
      <c r="G33" s="302">
        <f>1.7+1.4</f>
        <v>3.0999999999999996</v>
      </c>
      <c r="H33" s="303"/>
      <c r="I33" s="56"/>
      <c r="J33" s="302">
        <f>2.3+2.3</f>
        <v>4.6</v>
      </c>
      <c r="K33" s="303"/>
      <c r="L33" s="56"/>
      <c r="M33" s="302">
        <f>1.8+2.7</f>
        <v>4.5</v>
      </c>
      <c r="N33" s="304"/>
      <c r="O33"/>
      <c r="P33" s="46" t="s">
        <v>47</v>
      </c>
      <c r="Q33" s="47"/>
      <c r="R33" s="47"/>
      <c r="S33" s="46"/>
      <c r="T33" s="46"/>
      <c r="U33" s="46"/>
      <c r="V33" s="46"/>
    </row>
    <row r="34" spans="1:22" ht="11.25">
      <c r="A34" s="20"/>
      <c r="B34" s="22"/>
      <c r="C34" s="4"/>
      <c r="D34" s="48"/>
      <c r="E34" s="49"/>
      <c r="F34" s="50" t="s">
        <v>44</v>
      </c>
      <c r="G34" s="302">
        <v>3.3</v>
      </c>
      <c r="H34" s="303"/>
      <c r="I34" s="56"/>
      <c r="J34" s="302">
        <v>3.9</v>
      </c>
      <c r="K34" s="303"/>
      <c r="L34" s="56"/>
      <c r="M34" s="302">
        <v>3.1</v>
      </c>
      <c r="N34" s="304"/>
      <c r="O34"/>
      <c r="P34" s="46" t="s">
        <v>48</v>
      </c>
      <c r="Q34" s="47"/>
      <c r="R34" s="47"/>
      <c r="S34" s="46"/>
      <c r="T34" s="46"/>
      <c r="U34" s="46"/>
      <c r="V34" s="46"/>
    </row>
    <row r="35" spans="1:22" ht="11.25">
      <c r="A35" s="20"/>
      <c r="B35" s="22"/>
      <c r="C35" s="4"/>
      <c r="D35" s="48"/>
      <c r="E35" s="49"/>
      <c r="F35" s="50" t="s">
        <v>45</v>
      </c>
      <c r="G35" s="307">
        <v>3.9</v>
      </c>
      <c r="H35" s="308"/>
      <c r="I35" s="56"/>
      <c r="J35" s="307">
        <v>2.1</v>
      </c>
      <c r="K35" s="308"/>
      <c r="L35" s="56"/>
      <c r="M35" s="307">
        <v>1.1</v>
      </c>
      <c r="N35" s="309"/>
      <c r="O35"/>
      <c r="P35" s="46" t="s">
        <v>50</v>
      </c>
      <c r="Q35" s="47"/>
      <c r="R35" s="47"/>
      <c r="S35" s="46"/>
      <c r="T35" s="46"/>
      <c r="U35" s="46"/>
      <c r="V35" s="46"/>
    </row>
    <row r="36" spans="1:22" ht="11.25">
      <c r="A36" s="20"/>
      <c r="B36" s="22"/>
      <c r="C36" s="4"/>
      <c r="D36" s="48"/>
      <c r="E36" s="49"/>
      <c r="F36" s="50" t="s">
        <v>46</v>
      </c>
      <c r="G36" s="305"/>
      <c r="H36" s="305"/>
      <c r="I36" s="56"/>
      <c r="J36" s="305"/>
      <c r="K36" s="305"/>
      <c r="L36" s="56"/>
      <c r="M36" s="305"/>
      <c r="N36" s="306"/>
      <c r="O36"/>
      <c r="P36" s="46" t="s">
        <v>49</v>
      </c>
      <c r="Q36" s="47"/>
      <c r="R36" s="47"/>
      <c r="S36" s="46"/>
      <c r="T36" s="46"/>
      <c r="U36" s="46"/>
      <c r="V36" s="46"/>
    </row>
    <row r="37" spans="1:18" s="69" customFormat="1" ht="11.25">
      <c r="A37" s="64"/>
      <c r="B37" s="65"/>
      <c r="C37" s="66"/>
      <c r="D37" s="66"/>
      <c r="E37" s="5"/>
      <c r="F37" s="67"/>
      <c r="G37" s="70"/>
      <c r="H37" s="70"/>
      <c r="I37" s="68"/>
      <c r="J37" s="70"/>
      <c r="K37" s="70"/>
      <c r="L37" s="68"/>
      <c r="M37" s="70"/>
      <c r="N37" s="71"/>
      <c r="O37" s="12"/>
      <c r="Q37" s="12"/>
      <c r="R37" s="12"/>
    </row>
    <row r="38" spans="1:22" ht="11.25">
      <c r="A38" s="20"/>
      <c r="B38" s="22"/>
      <c r="C38" s="4"/>
      <c r="D38" s="48"/>
      <c r="E38" s="49"/>
      <c r="F38" s="50" t="s">
        <v>66</v>
      </c>
      <c r="G38" s="305">
        <f>1195+820</f>
        <v>2015</v>
      </c>
      <c r="H38" s="305"/>
      <c r="I38" s="56"/>
      <c r="J38" s="305">
        <f>1598+1096</f>
        <v>2694</v>
      </c>
      <c r="K38" s="305"/>
      <c r="L38" s="56"/>
      <c r="M38" s="305">
        <f>1877+2048</f>
        <v>3925</v>
      </c>
      <c r="N38" s="306"/>
      <c r="O38"/>
      <c r="P38" s="46" t="s">
        <v>72</v>
      </c>
      <c r="Q38" s="47"/>
      <c r="R38" s="47"/>
      <c r="S38" s="46"/>
      <c r="T38" s="46"/>
      <c r="U38" s="46"/>
      <c r="V38" s="46"/>
    </row>
    <row r="39" spans="1:22" ht="11.25">
      <c r="A39" s="20"/>
      <c r="B39" s="22"/>
      <c r="C39" s="4"/>
      <c r="D39" s="48"/>
      <c r="E39" s="49"/>
      <c r="F39" s="50" t="s">
        <v>65</v>
      </c>
      <c r="G39" s="299">
        <v>5289</v>
      </c>
      <c r="H39" s="300"/>
      <c r="I39" s="56"/>
      <c r="J39" s="299">
        <v>6115</v>
      </c>
      <c r="K39" s="300"/>
      <c r="L39" s="56"/>
      <c r="M39" s="299">
        <v>6039</v>
      </c>
      <c r="N39" s="301"/>
      <c r="O39"/>
      <c r="P39" s="46" t="s">
        <v>73</v>
      </c>
      <c r="Q39" s="47"/>
      <c r="R39" s="47"/>
      <c r="S39" s="46"/>
      <c r="T39" s="46"/>
      <c r="U39" s="46"/>
      <c r="V39" s="46"/>
    </row>
    <row r="40" spans="1:22" ht="11.25">
      <c r="A40" s="20"/>
      <c r="B40" s="22"/>
      <c r="C40" s="4"/>
      <c r="D40" s="48"/>
      <c r="E40" s="49"/>
      <c r="F40" s="50" t="s">
        <v>67</v>
      </c>
      <c r="G40" s="302">
        <v>4714</v>
      </c>
      <c r="H40" s="303"/>
      <c r="I40" s="56"/>
      <c r="J40" s="302">
        <v>2655</v>
      </c>
      <c r="K40" s="303"/>
      <c r="L40" s="56"/>
      <c r="M40" s="302">
        <v>1904</v>
      </c>
      <c r="N40" s="304"/>
      <c r="O40"/>
      <c r="P40" s="46" t="s">
        <v>75</v>
      </c>
      <c r="Q40" s="47"/>
      <c r="R40" s="47"/>
      <c r="S40" s="46"/>
      <c r="T40" s="46"/>
      <c r="U40" s="46"/>
      <c r="V40" s="46"/>
    </row>
    <row r="41" spans="1:22" ht="11.25">
      <c r="A41" s="20"/>
      <c r="B41" s="22"/>
      <c r="C41" s="4"/>
      <c r="D41" s="48"/>
      <c r="E41" s="49"/>
      <c r="F41" s="50" t="s">
        <v>68</v>
      </c>
      <c r="G41" s="302"/>
      <c r="H41" s="303"/>
      <c r="I41" s="56"/>
      <c r="J41" s="302"/>
      <c r="K41" s="303"/>
      <c r="L41" s="56"/>
      <c r="M41" s="302"/>
      <c r="N41" s="304"/>
      <c r="O41"/>
      <c r="P41" s="46" t="s">
        <v>74</v>
      </c>
      <c r="Q41" s="47"/>
      <c r="R41" s="47"/>
      <c r="S41" s="46"/>
      <c r="T41" s="46"/>
      <c r="U41" s="46"/>
      <c r="V41" s="46"/>
    </row>
    <row r="42" spans="1:18" ht="11.25">
      <c r="A42" s="20"/>
      <c r="B42" s="4"/>
      <c r="C42" s="4"/>
      <c r="D42" s="4"/>
      <c r="E42" s="3"/>
      <c r="F42" s="3"/>
      <c r="G42" s="9"/>
      <c r="H42" s="9"/>
      <c r="I42" s="22"/>
      <c r="J42" s="9"/>
      <c r="K42" s="9"/>
      <c r="L42" s="22"/>
      <c r="M42" s="9"/>
      <c r="N42" s="26"/>
      <c r="O42"/>
      <c r="P42"/>
      <c r="Q42"/>
      <c r="R42"/>
    </row>
    <row r="43" spans="1:18" ht="11.25">
      <c r="A43" s="20"/>
      <c r="B43" s="22"/>
      <c r="C43" s="4"/>
      <c r="D43" s="4"/>
      <c r="E43" s="3"/>
      <c r="F43" s="29" t="s">
        <v>22</v>
      </c>
      <c r="G43" s="302">
        <f>+(G11+G18)/(G33+G34)</f>
        <v>1840.4687500000002</v>
      </c>
      <c r="H43" s="303"/>
      <c r="I43" s="22"/>
      <c r="J43" s="302">
        <f>+(J11+J18)/(J33+J34)</f>
        <v>1363.764705882353</v>
      </c>
      <c r="K43" s="303"/>
      <c r="L43" s="22"/>
      <c r="M43" s="302">
        <f>+(M11+M18)/(M33+M34)</f>
        <v>1515.1315789473686</v>
      </c>
      <c r="N43" s="303"/>
      <c r="O43"/>
      <c r="P43" t="s">
        <v>32</v>
      </c>
      <c r="Q43"/>
      <c r="R43"/>
    </row>
    <row r="44" spans="1:18" ht="11.25">
      <c r="A44" s="20"/>
      <c r="B44" s="22"/>
      <c r="C44" s="4"/>
      <c r="D44" s="103"/>
      <c r="E44" s="104"/>
      <c r="F44" s="102" t="s">
        <v>215</v>
      </c>
      <c r="G44" s="302">
        <f>(G11+G18)/SUM(G33:H36)</f>
        <v>1143.592233009709</v>
      </c>
      <c r="H44" s="303"/>
      <c r="I44" s="22"/>
      <c r="J44" s="302">
        <f>(J11+J18)/SUM(J33:K36)</f>
        <v>1093.5849056603774</v>
      </c>
      <c r="K44" s="303"/>
      <c r="L44" s="22"/>
      <c r="M44" s="302">
        <f>(M11+M18)/SUM(M33:N36)</f>
        <v>1323.5632183908046</v>
      </c>
      <c r="N44" s="303"/>
      <c r="O44"/>
      <c r="P44"/>
      <c r="Q44"/>
      <c r="R44"/>
    </row>
    <row r="45" spans="1:17" ht="11.25">
      <c r="A45" s="20"/>
      <c r="B45" s="4"/>
      <c r="C45" s="4"/>
      <c r="D45" s="4"/>
      <c r="E45" s="3"/>
      <c r="F45" s="3"/>
      <c r="G45" s="34" t="s">
        <v>24</v>
      </c>
      <c r="H45" s="34" t="s">
        <v>23</v>
      </c>
      <c r="I45" s="28"/>
      <c r="J45" s="34" t="s">
        <v>24</v>
      </c>
      <c r="K45" s="34" t="s">
        <v>23</v>
      </c>
      <c r="L45" s="28"/>
      <c r="M45" s="34" t="s">
        <v>24</v>
      </c>
      <c r="N45" s="35" t="s">
        <v>23</v>
      </c>
      <c r="O45" s="14"/>
      <c r="P45" s="13"/>
      <c r="Q45" s="31"/>
    </row>
    <row r="46" spans="1:22" ht="11.25">
      <c r="A46" s="20"/>
      <c r="B46" s="4"/>
      <c r="C46" s="4"/>
      <c r="D46" s="52"/>
      <c r="E46" s="53"/>
      <c r="F46" s="54" t="s">
        <v>25</v>
      </c>
      <c r="G46" s="57">
        <v>7</v>
      </c>
      <c r="H46" s="32">
        <f>G46/SUM($G$46:$G$49)</f>
        <v>0.6666666666666666</v>
      </c>
      <c r="I46" s="28"/>
      <c r="J46" s="57">
        <v>7</v>
      </c>
      <c r="K46" s="32">
        <f>J46/SUM($J$46:$J$49)</f>
        <v>0.6666666666666666</v>
      </c>
      <c r="L46" s="28"/>
      <c r="M46" s="57">
        <v>7</v>
      </c>
      <c r="N46" s="36">
        <f>M46/SUM($M$46:$M$49)</f>
        <v>0.7777777777777778</v>
      </c>
      <c r="O46" s="14"/>
      <c r="P46" s="55" t="s">
        <v>84</v>
      </c>
      <c r="Q46" s="51"/>
      <c r="R46" s="55"/>
      <c r="S46" s="55"/>
      <c r="T46" s="55"/>
      <c r="U46" s="55"/>
      <c r="V46" s="55"/>
    </row>
    <row r="47" spans="1:22" ht="11.25">
      <c r="A47" s="20"/>
      <c r="B47" s="4"/>
      <c r="C47" s="4"/>
      <c r="D47" s="52"/>
      <c r="E47" s="53"/>
      <c r="F47" s="54" t="s">
        <v>13</v>
      </c>
      <c r="G47" s="57">
        <v>3</v>
      </c>
      <c r="H47" s="32">
        <f aca="true" t="shared" si="0" ref="H47:H49">G47/SUM($G$46:$G$49)</f>
        <v>0.2857142857142857</v>
      </c>
      <c r="I47" s="28"/>
      <c r="J47" s="57">
        <v>3</v>
      </c>
      <c r="K47" s="32">
        <f aca="true" t="shared" si="1" ref="K47:K49">J47/SUM($J$46:$J$49)</f>
        <v>0.2857142857142857</v>
      </c>
      <c r="L47" s="28"/>
      <c r="M47" s="57">
        <v>2</v>
      </c>
      <c r="N47" s="36">
        <f aca="true" t="shared" si="2" ref="N47:N49">M47/SUM($M$46:$M$49)</f>
        <v>0.2222222222222222</v>
      </c>
      <c r="O47" s="14"/>
      <c r="P47" s="55" t="s">
        <v>84</v>
      </c>
      <c r="Q47" s="51"/>
      <c r="R47" s="55"/>
      <c r="S47" s="55"/>
      <c r="T47" s="55"/>
      <c r="U47" s="55"/>
      <c r="V47" s="55"/>
    </row>
    <row r="48" spans="1:22" ht="11.25">
      <c r="A48" s="20"/>
      <c r="B48" s="4"/>
      <c r="C48" s="4"/>
      <c r="D48" s="52"/>
      <c r="E48" s="53"/>
      <c r="F48" s="54" t="s">
        <v>51</v>
      </c>
      <c r="G48" s="57">
        <v>0.5</v>
      </c>
      <c r="H48" s="32">
        <f t="shared" si="0"/>
        <v>0.047619047619047616</v>
      </c>
      <c r="I48" s="28"/>
      <c r="J48" s="57">
        <v>0.5</v>
      </c>
      <c r="K48" s="32">
        <f t="shared" si="1"/>
        <v>0.047619047619047616</v>
      </c>
      <c r="L48" s="28"/>
      <c r="M48" s="57"/>
      <c r="N48" s="36">
        <f t="shared" si="2"/>
        <v>0</v>
      </c>
      <c r="O48" s="14"/>
      <c r="P48" s="55" t="s">
        <v>85</v>
      </c>
      <c r="Q48" s="51"/>
      <c r="R48" s="55"/>
      <c r="S48" s="55"/>
      <c r="T48" s="55"/>
      <c r="U48" s="55"/>
      <c r="V48" s="55"/>
    </row>
    <row r="49" spans="1:22" ht="11.25">
      <c r="A49" s="20"/>
      <c r="B49" s="4"/>
      <c r="C49" s="4"/>
      <c r="D49" s="52"/>
      <c r="E49" s="53"/>
      <c r="F49" s="54" t="s">
        <v>52</v>
      </c>
      <c r="G49" s="57"/>
      <c r="H49" s="32">
        <f t="shared" si="0"/>
        <v>0</v>
      </c>
      <c r="I49" s="28"/>
      <c r="J49" s="57"/>
      <c r="K49" s="32">
        <f t="shared" si="1"/>
        <v>0</v>
      </c>
      <c r="L49" s="28"/>
      <c r="M49" s="57"/>
      <c r="N49" s="36">
        <f t="shared" si="2"/>
        <v>0</v>
      </c>
      <c r="O49" s="14"/>
      <c r="P49" s="55" t="s">
        <v>85</v>
      </c>
      <c r="Q49" s="51"/>
      <c r="R49" s="55"/>
      <c r="S49" s="55"/>
      <c r="T49" s="55"/>
      <c r="U49" s="55"/>
      <c r="V49" s="55"/>
    </row>
    <row r="50" spans="1:14" ht="11.25">
      <c r="A50" s="21" t="s">
        <v>4</v>
      </c>
      <c r="B50" s="22"/>
      <c r="C50" s="4"/>
      <c r="D50" s="4"/>
      <c r="E50" s="3"/>
      <c r="F50" s="3"/>
      <c r="G50" s="8"/>
      <c r="H50" s="8"/>
      <c r="I50" s="3"/>
      <c r="J50" s="8"/>
      <c r="K50" s="8"/>
      <c r="L50" s="3"/>
      <c r="M50" s="8"/>
      <c r="N50" s="25"/>
    </row>
    <row r="51" spans="1:16" ht="11.25">
      <c r="A51" s="21"/>
      <c r="B51" s="22"/>
      <c r="C51" s="4"/>
      <c r="D51" s="4"/>
      <c r="E51" s="3"/>
      <c r="F51" s="63" t="s">
        <v>77</v>
      </c>
      <c r="G51" s="293">
        <v>0.91</v>
      </c>
      <c r="H51" s="294"/>
      <c r="I51" s="72"/>
      <c r="J51" s="293">
        <v>0.904</v>
      </c>
      <c r="K51" s="294"/>
      <c r="L51" s="72"/>
      <c r="M51" s="293">
        <v>0.895</v>
      </c>
      <c r="N51" s="295"/>
      <c r="P51" s="10" t="s">
        <v>87</v>
      </c>
    </row>
    <row r="52" spans="1:16" ht="11.25">
      <c r="A52" s="21"/>
      <c r="B52" s="22"/>
      <c r="C52" s="4"/>
      <c r="D52" s="4"/>
      <c r="E52" s="3"/>
      <c r="F52" s="63" t="s">
        <v>76</v>
      </c>
      <c r="G52" s="293">
        <v>0.218</v>
      </c>
      <c r="H52" s="294"/>
      <c r="I52" s="72"/>
      <c r="J52" s="293">
        <v>0.238</v>
      </c>
      <c r="K52" s="294"/>
      <c r="L52" s="72"/>
      <c r="M52" s="293">
        <v>0.239</v>
      </c>
      <c r="N52" s="295"/>
      <c r="P52" s="10" t="s">
        <v>79</v>
      </c>
    </row>
    <row r="53" spans="1:16" ht="11" customHeight="1">
      <c r="A53" s="20"/>
      <c r="B53" s="23"/>
      <c r="C53" s="4"/>
      <c r="D53" s="4"/>
      <c r="E53" s="3"/>
      <c r="F53" s="29" t="s">
        <v>10</v>
      </c>
      <c r="G53" s="296">
        <v>2</v>
      </c>
      <c r="H53" s="297"/>
      <c r="I53" s="3"/>
      <c r="J53" s="296">
        <v>4</v>
      </c>
      <c r="K53" s="297"/>
      <c r="L53" s="3"/>
      <c r="M53" s="296">
        <v>3</v>
      </c>
      <c r="N53" s="298"/>
      <c r="P53" s="10" t="s">
        <v>34</v>
      </c>
    </row>
    <row r="54" spans="1:16" ht="11.25">
      <c r="A54" s="20"/>
      <c r="B54" s="23"/>
      <c r="C54" s="4"/>
      <c r="D54" s="4"/>
      <c r="E54" s="3"/>
      <c r="F54" s="29" t="s">
        <v>8</v>
      </c>
      <c r="G54" s="296">
        <v>26</v>
      </c>
      <c r="H54" s="297"/>
      <c r="I54" s="14"/>
      <c r="J54" s="296">
        <v>25</v>
      </c>
      <c r="K54" s="297"/>
      <c r="L54" s="14"/>
      <c r="M54" s="296">
        <v>32</v>
      </c>
      <c r="N54" s="298"/>
      <c r="P54" s="10" t="s">
        <v>36</v>
      </c>
    </row>
    <row r="55" spans="1:16" ht="11.25">
      <c r="A55" s="20"/>
      <c r="B55" s="23"/>
      <c r="C55" s="4"/>
      <c r="D55" s="4"/>
      <c r="E55" s="3"/>
      <c r="F55" s="42" t="s">
        <v>11</v>
      </c>
      <c r="G55" s="296">
        <v>25.4</v>
      </c>
      <c r="H55" s="297"/>
      <c r="I55" s="3"/>
      <c r="J55" s="296">
        <v>26.6</v>
      </c>
      <c r="K55" s="297"/>
      <c r="L55" s="3"/>
      <c r="M55" s="296">
        <v>27.4</v>
      </c>
      <c r="N55" s="298"/>
      <c r="P55" s="10" t="s">
        <v>42</v>
      </c>
    </row>
    <row r="56" spans="1:19" ht="11.25">
      <c r="A56" s="20"/>
      <c r="B56" s="22"/>
      <c r="C56" s="4"/>
      <c r="D56" s="4"/>
      <c r="E56" s="3"/>
      <c r="F56" s="29" t="s">
        <v>9</v>
      </c>
      <c r="G56" s="293">
        <v>0.8</v>
      </c>
      <c r="H56" s="294"/>
      <c r="I56" s="3"/>
      <c r="J56" s="293">
        <v>0.71</v>
      </c>
      <c r="K56" s="294"/>
      <c r="L56" s="3"/>
      <c r="M56" s="293">
        <v>0.88</v>
      </c>
      <c r="N56" s="295"/>
      <c r="P56" s="10" t="s">
        <v>37</v>
      </c>
      <c r="Q56"/>
      <c r="R56"/>
      <c r="S56"/>
    </row>
    <row r="57" spans="1:19" ht="11.25">
      <c r="A57" s="20"/>
      <c r="B57" s="22"/>
      <c r="C57" s="4"/>
      <c r="D57" s="4"/>
      <c r="E57" s="27"/>
      <c r="F57" s="29" t="s">
        <v>12</v>
      </c>
      <c r="G57" s="296">
        <v>3</v>
      </c>
      <c r="H57" s="297"/>
      <c r="I57" s="28"/>
      <c r="J57" s="296">
        <v>6</v>
      </c>
      <c r="K57" s="297"/>
      <c r="L57" s="28"/>
      <c r="M57" s="296">
        <v>1</v>
      </c>
      <c r="N57" s="298"/>
      <c r="P57" s="10" t="s">
        <v>38</v>
      </c>
      <c r="Q57"/>
      <c r="R57"/>
      <c r="S57"/>
    </row>
    <row r="58" spans="1:19" ht="11.25">
      <c r="A58" s="20"/>
      <c r="B58" s="22"/>
      <c r="C58" s="4"/>
      <c r="D58" s="4"/>
      <c r="E58" s="3"/>
      <c r="F58" s="29" t="s">
        <v>19</v>
      </c>
      <c r="G58" s="293">
        <v>0.075</v>
      </c>
      <c r="H58" s="294"/>
      <c r="I58" s="28"/>
      <c r="J58" s="293">
        <v>0.126</v>
      </c>
      <c r="K58" s="294"/>
      <c r="L58" s="28"/>
      <c r="M58" s="293">
        <v>0.013</v>
      </c>
      <c r="N58" s="295"/>
      <c r="P58" s="10" t="s">
        <v>39</v>
      </c>
      <c r="Q58"/>
      <c r="R58"/>
      <c r="S58"/>
    </row>
    <row r="59" spans="1:19" ht="11.25">
      <c r="A59" s="20"/>
      <c r="B59" s="22"/>
      <c r="C59" s="4"/>
      <c r="D59" s="4"/>
      <c r="E59" s="3"/>
      <c r="F59" s="29" t="s">
        <v>0</v>
      </c>
      <c r="G59" s="293">
        <v>0.138</v>
      </c>
      <c r="H59" s="294"/>
      <c r="I59" s="28"/>
      <c r="J59" s="293">
        <v>0.25</v>
      </c>
      <c r="K59" s="294"/>
      <c r="L59" s="28"/>
      <c r="M59" s="293">
        <v>0.031</v>
      </c>
      <c r="N59" s="295"/>
      <c r="P59" s="10" t="s">
        <v>40</v>
      </c>
      <c r="Q59"/>
      <c r="R59"/>
      <c r="S59"/>
    </row>
    <row r="60" spans="1:14" ht="11.25">
      <c r="A60" s="21" t="s">
        <v>1</v>
      </c>
      <c r="B60" s="28"/>
      <c r="C60" s="28"/>
      <c r="D60" s="28"/>
      <c r="E60" s="28"/>
      <c r="F60" s="28"/>
      <c r="G60" s="28"/>
      <c r="H60" s="28"/>
      <c r="I60" s="28"/>
      <c r="J60" s="28"/>
      <c r="K60" s="28"/>
      <c r="L60" s="28"/>
      <c r="M60" s="28"/>
      <c r="N60" s="33"/>
    </row>
    <row r="61" spans="1:16" ht="11.25">
      <c r="A61" s="37"/>
      <c r="B61" s="28"/>
      <c r="C61" s="28"/>
      <c r="D61" s="28"/>
      <c r="E61" s="28"/>
      <c r="F61" s="28"/>
      <c r="G61" s="28"/>
      <c r="H61" s="28"/>
      <c r="I61" s="28"/>
      <c r="J61" s="28"/>
      <c r="K61" s="28"/>
      <c r="L61" s="28"/>
      <c r="M61" s="28"/>
      <c r="N61" s="33"/>
      <c r="P61" t="s">
        <v>35</v>
      </c>
    </row>
    <row r="62" spans="1:14" ht="11.25">
      <c r="A62" s="38"/>
      <c r="B62" s="23"/>
      <c r="C62" s="23"/>
      <c r="D62" s="23"/>
      <c r="E62" s="23"/>
      <c r="F62" s="23"/>
      <c r="G62" s="23"/>
      <c r="H62" s="23"/>
      <c r="I62" s="23"/>
      <c r="J62" s="23"/>
      <c r="K62" s="23"/>
      <c r="L62" s="23"/>
      <c r="M62" s="23"/>
      <c r="N62" s="24"/>
    </row>
    <row r="63" spans="1:14" ht="11.25">
      <c r="A63" s="38"/>
      <c r="B63" s="23"/>
      <c r="C63" s="23"/>
      <c r="D63" s="23"/>
      <c r="E63" s="23"/>
      <c r="F63" s="23"/>
      <c r="G63" s="23"/>
      <c r="H63" s="23"/>
      <c r="I63" s="23"/>
      <c r="J63" s="23"/>
      <c r="K63" s="23"/>
      <c r="L63" s="23"/>
      <c r="M63" s="23"/>
      <c r="N63" s="24"/>
    </row>
    <row r="64" spans="1:16" ht="11.25">
      <c r="A64" s="38"/>
      <c r="B64" s="23"/>
      <c r="C64" s="23"/>
      <c r="D64" s="23"/>
      <c r="E64" s="23"/>
      <c r="F64" s="23"/>
      <c r="G64" s="23"/>
      <c r="H64" s="23"/>
      <c r="I64" s="23"/>
      <c r="J64" s="23"/>
      <c r="K64" s="23"/>
      <c r="L64" s="23"/>
      <c r="M64" s="23"/>
      <c r="N64" s="24"/>
      <c r="P64" s="44" t="s">
        <v>41</v>
      </c>
    </row>
    <row r="65" spans="1:14" ht="11.25">
      <c r="A65" s="38"/>
      <c r="B65" s="23"/>
      <c r="C65" s="23"/>
      <c r="D65" s="23"/>
      <c r="E65" s="23"/>
      <c r="F65" s="23"/>
      <c r="G65" s="23"/>
      <c r="H65" s="23"/>
      <c r="I65" s="23"/>
      <c r="J65" s="23"/>
      <c r="K65" s="23"/>
      <c r="L65" s="23"/>
      <c r="M65" s="23"/>
      <c r="N65" s="24"/>
    </row>
    <row r="66" spans="1:14" ht="12.75" thickBot="1">
      <c r="A66" s="39"/>
      <c r="B66" s="40"/>
      <c r="C66" s="40"/>
      <c r="D66" s="40"/>
      <c r="E66" s="40"/>
      <c r="F66" s="40"/>
      <c r="G66" s="40"/>
      <c r="H66" s="40"/>
      <c r="I66" s="40"/>
      <c r="J66" s="40"/>
      <c r="K66" s="40"/>
      <c r="L66" s="40"/>
      <c r="M66" s="40"/>
      <c r="N66" s="41"/>
    </row>
  </sheetData>
  <mergeCells count="122">
    <mergeCell ref="G5:H5"/>
    <mergeCell ref="G6:H6"/>
    <mergeCell ref="G7:H7"/>
    <mergeCell ref="G8:H8"/>
    <mergeCell ref="G9:H9"/>
    <mergeCell ref="J9:K9"/>
    <mergeCell ref="G2:N2"/>
    <mergeCell ref="G3:H3"/>
    <mergeCell ref="J3:K3"/>
    <mergeCell ref="M3:N3"/>
    <mergeCell ref="G4:H4"/>
    <mergeCell ref="J4:K4"/>
    <mergeCell ref="M4:N4"/>
    <mergeCell ref="G13:H13"/>
    <mergeCell ref="J13:K13"/>
    <mergeCell ref="M13:N13"/>
    <mergeCell ref="M9:N9"/>
    <mergeCell ref="G11:H11"/>
    <mergeCell ref="J11:K11"/>
    <mergeCell ref="M11:N11"/>
    <mergeCell ref="G12:H12"/>
    <mergeCell ref="J12:K12"/>
    <mergeCell ref="M12:N12"/>
    <mergeCell ref="G18:H18"/>
    <mergeCell ref="J18:K18"/>
    <mergeCell ref="M18:N18"/>
    <mergeCell ref="G19:H19"/>
    <mergeCell ref="J19:K19"/>
    <mergeCell ref="M19:N19"/>
    <mergeCell ref="G14:H14"/>
    <mergeCell ref="J14:K14"/>
    <mergeCell ref="M14:N14"/>
    <mergeCell ref="G15:H15"/>
    <mergeCell ref="J15:K15"/>
    <mergeCell ref="M15:N15"/>
    <mergeCell ref="G16:H16"/>
    <mergeCell ref="J16:K16"/>
    <mergeCell ref="M16:N16"/>
    <mergeCell ref="G20:H20"/>
    <mergeCell ref="J20:K20"/>
    <mergeCell ref="M20:N20"/>
    <mergeCell ref="G21:H21"/>
    <mergeCell ref="J21:K21"/>
    <mergeCell ref="M21:N21"/>
    <mergeCell ref="G22:H22"/>
    <mergeCell ref="J22:K22"/>
    <mergeCell ref="M22:N22"/>
    <mergeCell ref="G27:H27"/>
    <mergeCell ref="J27:K27"/>
    <mergeCell ref="M27:N27"/>
    <mergeCell ref="G28:H28"/>
    <mergeCell ref="J28:K28"/>
    <mergeCell ref="M28:N28"/>
    <mergeCell ref="G24:H24"/>
    <mergeCell ref="J24:K24"/>
    <mergeCell ref="M24:N24"/>
    <mergeCell ref="G25:H25"/>
    <mergeCell ref="J25:K25"/>
    <mergeCell ref="M25:N25"/>
    <mergeCell ref="G34:H34"/>
    <mergeCell ref="J34:K34"/>
    <mergeCell ref="M34:N34"/>
    <mergeCell ref="G35:H35"/>
    <mergeCell ref="J35:K35"/>
    <mergeCell ref="M35:N35"/>
    <mergeCell ref="G29:H29"/>
    <mergeCell ref="J29:K29"/>
    <mergeCell ref="M29:N29"/>
    <mergeCell ref="G33:H33"/>
    <mergeCell ref="J33:K33"/>
    <mergeCell ref="M33:N33"/>
    <mergeCell ref="G31:H31"/>
    <mergeCell ref="J31:K31"/>
    <mergeCell ref="M31:N31"/>
    <mergeCell ref="G51:H51"/>
    <mergeCell ref="J51:K51"/>
    <mergeCell ref="M51:N51"/>
    <mergeCell ref="G41:H41"/>
    <mergeCell ref="J41:K41"/>
    <mergeCell ref="M41:N41"/>
    <mergeCell ref="G43:H43"/>
    <mergeCell ref="J43:K43"/>
    <mergeCell ref="M43:N43"/>
    <mergeCell ref="M44:N44"/>
    <mergeCell ref="J44:K44"/>
    <mergeCell ref="G44:H44"/>
    <mergeCell ref="G39:H39"/>
    <mergeCell ref="J39:K39"/>
    <mergeCell ref="M39:N39"/>
    <mergeCell ref="G40:H40"/>
    <mergeCell ref="J40:K40"/>
    <mergeCell ref="M40:N40"/>
    <mergeCell ref="G36:H36"/>
    <mergeCell ref="J36:K36"/>
    <mergeCell ref="M36:N36"/>
    <mergeCell ref="G38:H38"/>
    <mergeCell ref="J38:K38"/>
    <mergeCell ref="M38:N38"/>
    <mergeCell ref="G54:H54"/>
    <mergeCell ref="J54:K54"/>
    <mergeCell ref="M54:N54"/>
    <mergeCell ref="G55:H55"/>
    <mergeCell ref="J55:K55"/>
    <mergeCell ref="M55:N55"/>
    <mergeCell ref="G52:H52"/>
    <mergeCell ref="J52:K52"/>
    <mergeCell ref="M52:N52"/>
    <mergeCell ref="G53:H53"/>
    <mergeCell ref="J53:K53"/>
    <mergeCell ref="M53:N53"/>
    <mergeCell ref="G58:H58"/>
    <mergeCell ref="J58:K58"/>
    <mergeCell ref="M58:N58"/>
    <mergeCell ref="G59:H59"/>
    <mergeCell ref="J59:K59"/>
    <mergeCell ref="M59:N59"/>
    <mergeCell ref="G56:H56"/>
    <mergeCell ref="J56:K56"/>
    <mergeCell ref="M56:N56"/>
    <mergeCell ref="G57:H57"/>
    <mergeCell ref="J57:K57"/>
    <mergeCell ref="M57:N57"/>
  </mergeCells>
  <printOptions/>
  <pageMargins left="0.25" right="0.25" top="0.75" bottom="0.75" header="0.3" footer="0.3"/>
  <pageSetup fitToHeight="1" fitToWidth="1" horizontalDpi="1200" verticalDpi="1200" orientation="portrait" scale="94" r:id="rId3"/>
  <colBreaks count="1" manualBreakCount="1">
    <brk id="14" max="16383" man="1"/>
  </col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V66"/>
  <sheetViews>
    <sheetView showGridLines="0" workbookViewId="0" topLeftCell="A1">
      <selection activeCell="G27" sqref="G27:H29"/>
    </sheetView>
  </sheetViews>
  <sheetFormatPr defaultColWidth="9.00390625" defaultRowHeight="11.25"/>
  <cols>
    <col min="1" max="1" width="4.625" style="1" customWidth="1"/>
    <col min="2" max="5" width="9.00390625" style="1" customWidth="1"/>
    <col min="6" max="6" width="7.125" style="1" customWidth="1"/>
    <col min="7" max="8" width="9.125" style="1" customWidth="1"/>
    <col min="9" max="9" width="1.75390625" style="1" customWidth="1"/>
    <col min="10" max="11" width="9.125" style="1" customWidth="1"/>
    <col min="12" max="12" width="1.75390625" style="1" customWidth="1"/>
    <col min="13" max="14" width="9.125" style="1" customWidth="1"/>
    <col min="15" max="15" width="3.75390625" style="10" customWidth="1"/>
    <col min="16" max="16384" width="9.00390625" style="10" customWidth="1"/>
  </cols>
  <sheetData>
    <row r="1" spans="1:14" s="12" customFormat="1" ht="11.25">
      <c r="A1" s="17" t="s">
        <v>88</v>
      </c>
      <c r="B1" s="18"/>
      <c r="C1" s="18"/>
      <c r="D1" s="18"/>
      <c r="E1" s="18"/>
      <c r="F1" s="18"/>
      <c r="G1" s="18"/>
      <c r="H1" s="18"/>
      <c r="I1" s="18"/>
      <c r="J1" s="18"/>
      <c r="K1" s="18"/>
      <c r="L1" s="18"/>
      <c r="M1" s="18"/>
      <c r="N1" s="19"/>
    </row>
    <row r="2" spans="1:16" s="12" customFormat="1" ht="11.25">
      <c r="A2" s="20" t="s">
        <v>89</v>
      </c>
      <c r="B2" s="15"/>
      <c r="C2" s="15"/>
      <c r="D2" s="15"/>
      <c r="E2" s="15"/>
      <c r="F2" s="15"/>
      <c r="G2" s="328" t="s">
        <v>26</v>
      </c>
      <c r="H2" s="328"/>
      <c r="I2" s="328"/>
      <c r="J2" s="328"/>
      <c r="K2" s="328"/>
      <c r="L2" s="328"/>
      <c r="M2" s="328"/>
      <c r="N2" s="329"/>
      <c r="P2" s="43" t="s">
        <v>27</v>
      </c>
    </row>
    <row r="3" spans="1:14" ht="11.25">
      <c r="A3" s="45"/>
      <c r="B3" s="2"/>
      <c r="C3" s="2"/>
      <c r="D3" s="2"/>
      <c r="E3" s="2"/>
      <c r="F3" s="16" t="s">
        <v>14</v>
      </c>
      <c r="G3" s="330">
        <v>19</v>
      </c>
      <c r="H3" s="327"/>
      <c r="I3" s="2"/>
      <c r="J3" s="330">
        <v>18</v>
      </c>
      <c r="K3" s="327"/>
      <c r="L3" s="2"/>
      <c r="M3" s="330">
        <v>17</v>
      </c>
      <c r="N3" s="331"/>
    </row>
    <row r="4" spans="1:14" ht="11.25">
      <c r="A4" s="20"/>
      <c r="B4" s="2"/>
      <c r="C4" s="2"/>
      <c r="D4" s="2"/>
      <c r="E4" s="2"/>
      <c r="F4" s="16" t="s">
        <v>15</v>
      </c>
      <c r="G4" s="330" t="s">
        <v>80</v>
      </c>
      <c r="H4" s="327"/>
      <c r="I4" s="2"/>
      <c r="J4" s="330" t="s">
        <v>81</v>
      </c>
      <c r="K4" s="327"/>
      <c r="L4" s="2"/>
      <c r="M4" s="330" t="s">
        <v>82</v>
      </c>
      <c r="N4" s="331"/>
    </row>
    <row r="5" spans="1:14" ht="11.25">
      <c r="A5" s="20"/>
      <c r="B5" s="2"/>
      <c r="C5" s="2"/>
      <c r="D5" s="2"/>
      <c r="E5" s="2"/>
      <c r="F5" s="16" t="s">
        <v>16</v>
      </c>
      <c r="G5" s="321" t="s">
        <v>95</v>
      </c>
      <c r="H5" s="322"/>
      <c r="I5" s="2"/>
      <c r="J5" s="28"/>
      <c r="K5" s="28"/>
      <c r="L5" s="28"/>
      <c r="M5" s="28"/>
      <c r="N5" s="33"/>
    </row>
    <row r="6" spans="1:14" ht="11.25">
      <c r="A6" s="20"/>
      <c r="B6" s="2"/>
      <c r="C6" s="2"/>
      <c r="D6" s="2"/>
      <c r="E6" s="2"/>
      <c r="F6" s="16" t="s">
        <v>17</v>
      </c>
      <c r="G6" s="323" t="s">
        <v>96</v>
      </c>
      <c r="H6" s="323"/>
      <c r="I6" s="2"/>
      <c r="J6" s="28"/>
      <c r="K6" s="28"/>
      <c r="L6" s="28"/>
      <c r="M6" s="28"/>
      <c r="N6" s="33"/>
    </row>
    <row r="7" spans="1:14" ht="11.25">
      <c r="A7" s="20"/>
      <c r="B7" s="2"/>
      <c r="C7" s="2"/>
      <c r="D7" s="2"/>
      <c r="E7" s="2"/>
      <c r="F7" s="16" t="s">
        <v>33</v>
      </c>
      <c r="G7" s="324" t="s">
        <v>97</v>
      </c>
      <c r="H7" s="325"/>
      <c r="I7" s="2"/>
      <c r="J7" s="28"/>
      <c r="K7" s="28"/>
      <c r="L7" s="28"/>
      <c r="M7" s="28"/>
      <c r="N7" s="33"/>
    </row>
    <row r="8" spans="1:14" ht="11.25">
      <c r="A8" s="20"/>
      <c r="B8" s="2"/>
      <c r="C8" s="2"/>
      <c r="D8" s="2"/>
      <c r="E8" s="2"/>
      <c r="F8" s="16" t="s">
        <v>18</v>
      </c>
      <c r="G8" s="326">
        <v>43924</v>
      </c>
      <c r="H8" s="327"/>
      <c r="I8" s="2"/>
      <c r="J8" s="28"/>
      <c r="K8" s="28"/>
      <c r="L8" s="28"/>
      <c r="M8" s="28"/>
      <c r="N8" s="33"/>
    </row>
    <row r="9" spans="1:14" ht="12.75">
      <c r="A9" s="21" t="s">
        <v>2</v>
      </c>
      <c r="B9" s="22"/>
      <c r="C9" s="4"/>
      <c r="D9" s="4"/>
      <c r="E9" s="3"/>
      <c r="F9" s="3"/>
      <c r="G9" s="319"/>
      <c r="H9" s="319"/>
      <c r="I9" s="3"/>
      <c r="J9" s="319"/>
      <c r="K9" s="319"/>
      <c r="L9" s="3"/>
      <c r="M9" s="319"/>
      <c r="N9" s="320"/>
    </row>
    <row r="10" spans="1:15" ht="12.75">
      <c r="A10" s="20"/>
      <c r="B10" s="22" t="s">
        <v>56</v>
      </c>
      <c r="C10" s="4"/>
      <c r="D10" s="4"/>
      <c r="E10" s="3"/>
      <c r="F10" s="29"/>
      <c r="G10" s="58"/>
      <c r="H10" s="58"/>
      <c r="I10" s="5"/>
      <c r="J10" s="58"/>
      <c r="K10" s="58"/>
      <c r="L10" s="5"/>
      <c r="M10" s="58"/>
      <c r="N10" s="59"/>
      <c r="O10" s="11"/>
    </row>
    <row r="11" spans="1:16" ht="11.25">
      <c r="A11" s="20"/>
      <c r="B11" s="22"/>
      <c r="C11" s="6"/>
      <c r="D11" s="6"/>
      <c r="E11" s="7"/>
      <c r="F11" s="30" t="s">
        <v>7</v>
      </c>
      <c r="G11" s="313">
        <v>857</v>
      </c>
      <c r="H11" s="314"/>
      <c r="I11" s="5"/>
      <c r="J11" s="313">
        <v>1152</v>
      </c>
      <c r="K11" s="314"/>
      <c r="L11" s="5"/>
      <c r="M11" s="313">
        <v>1100</v>
      </c>
      <c r="N11" s="315"/>
      <c r="P11" s="10" t="s">
        <v>28</v>
      </c>
    </row>
    <row r="12" spans="1:16" ht="12.75">
      <c r="A12" s="20"/>
      <c r="B12" s="22"/>
      <c r="C12" s="4"/>
      <c r="D12" s="4"/>
      <c r="E12" s="3"/>
      <c r="F12" s="29" t="s">
        <v>5</v>
      </c>
      <c r="G12" s="316">
        <v>-0.117</v>
      </c>
      <c r="H12" s="317"/>
      <c r="I12" s="5"/>
      <c r="J12" s="316">
        <v>-0.093</v>
      </c>
      <c r="K12" s="317"/>
      <c r="L12" s="5"/>
      <c r="M12" s="316">
        <v>-0.028</v>
      </c>
      <c r="N12" s="318"/>
      <c r="O12" s="11"/>
      <c r="P12" s="10" t="s">
        <v>29</v>
      </c>
    </row>
    <row r="13" spans="1:16" ht="12.75">
      <c r="A13" s="20"/>
      <c r="B13" s="22"/>
      <c r="C13" s="4"/>
      <c r="D13" s="4"/>
      <c r="E13" s="3"/>
      <c r="F13" s="29" t="s">
        <v>53</v>
      </c>
      <c r="G13" s="313">
        <v>0</v>
      </c>
      <c r="H13" s="314"/>
      <c r="I13" s="5"/>
      <c r="J13" s="313">
        <v>0</v>
      </c>
      <c r="K13" s="314"/>
      <c r="L13" s="5"/>
      <c r="M13" s="313">
        <v>0</v>
      </c>
      <c r="N13" s="315"/>
      <c r="O13" s="11"/>
      <c r="P13" s="10" t="s">
        <v>71</v>
      </c>
    </row>
    <row r="14" spans="1:16" ht="12.75">
      <c r="A14" s="20"/>
      <c r="B14" s="22"/>
      <c r="C14" s="4"/>
      <c r="D14" s="4"/>
      <c r="E14" s="3"/>
      <c r="F14" s="29" t="s">
        <v>54</v>
      </c>
      <c r="G14" s="313">
        <v>0</v>
      </c>
      <c r="H14" s="314"/>
      <c r="I14" s="5"/>
      <c r="J14" s="313">
        <v>0</v>
      </c>
      <c r="K14" s="314"/>
      <c r="L14" s="5"/>
      <c r="M14" s="313">
        <v>0</v>
      </c>
      <c r="N14" s="315"/>
      <c r="O14" s="11"/>
      <c r="P14" s="10" t="s">
        <v>70</v>
      </c>
    </row>
    <row r="15" spans="1:16" ht="12.75">
      <c r="A15" s="20"/>
      <c r="B15" s="22"/>
      <c r="C15" s="4"/>
      <c r="D15" s="4"/>
      <c r="E15" s="3"/>
      <c r="F15" s="29" t="s">
        <v>55</v>
      </c>
      <c r="G15" s="313">
        <v>0</v>
      </c>
      <c r="H15" s="314"/>
      <c r="I15" s="5"/>
      <c r="J15" s="313">
        <v>0</v>
      </c>
      <c r="K15" s="314"/>
      <c r="L15" s="5"/>
      <c r="M15" s="313">
        <v>0</v>
      </c>
      <c r="N15" s="315"/>
      <c r="O15" s="11"/>
      <c r="P15" s="10" t="s">
        <v>69</v>
      </c>
    </row>
    <row r="16" spans="1:16" ht="12.75">
      <c r="A16" s="20"/>
      <c r="B16" s="22"/>
      <c r="C16" s="4"/>
      <c r="D16" s="4"/>
      <c r="E16" s="3"/>
      <c r="F16" s="29" t="s">
        <v>78</v>
      </c>
      <c r="G16" s="313">
        <v>0</v>
      </c>
      <c r="H16" s="314"/>
      <c r="I16" s="5"/>
      <c r="J16" s="313">
        <v>0</v>
      </c>
      <c r="K16" s="314"/>
      <c r="L16" s="5"/>
      <c r="M16" s="313">
        <v>0</v>
      </c>
      <c r="N16" s="315"/>
      <c r="O16" s="11"/>
      <c r="P16" s="10" t="s">
        <v>86</v>
      </c>
    </row>
    <row r="17" spans="1:15" ht="12.75">
      <c r="A17" s="20"/>
      <c r="B17" s="22" t="s">
        <v>57</v>
      </c>
      <c r="C17" s="4"/>
      <c r="D17" s="4"/>
      <c r="E17" s="3"/>
      <c r="F17" s="29"/>
      <c r="G17" s="58"/>
      <c r="H17" s="58"/>
      <c r="I17" s="5"/>
      <c r="J17" s="58"/>
      <c r="K17" s="58"/>
      <c r="L17" s="5"/>
      <c r="M17" s="58"/>
      <c r="N17" s="59"/>
      <c r="O17" s="11"/>
    </row>
    <row r="18" spans="1:16" ht="11.25">
      <c r="A18" s="20"/>
      <c r="B18" s="22"/>
      <c r="C18" s="6"/>
      <c r="D18" s="6"/>
      <c r="E18" s="7"/>
      <c r="F18" s="30" t="s">
        <v>7</v>
      </c>
      <c r="G18" s="313"/>
      <c r="H18" s="314"/>
      <c r="I18" s="5"/>
      <c r="J18" s="313"/>
      <c r="K18" s="314"/>
      <c r="L18" s="5"/>
      <c r="M18" s="313"/>
      <c r="N18" s="315"/>
      <c r="P18" s="10" t="s">
        <v>28</v>
      </c>
    </row>
    <row r="19" spans="1:16" ht="12.75">
      <c r="A19" s="20"/>
      <c r="B19" s="22"/>
      <c r="C19" s="4"/>
      <c r="D19" s="4"/>
      <c r="E19" s="3"/>
      <c r="F19" s="29" t="s">
        <v>5</v>
      </c>
      <c r="G19" s="316"/>
      <c r="H19" s="317"/>
      <c r="I19" s="5"/>
      <c r="J19" s="316"/>
      <c r="K19" s="317"/>
      <c r="L19" s="5"/>
      <c r="M19" s="316"/>
      <c r="N19" s="318"/>
      <c r="O19" s="11"/>
      <c r="P19" s="10" t="s">
        <v>29</v>
      </c>
    </row>
    <row r="20" spans="1:16" ht="12.75">
      <c r="A20" s="20"/>
      <c r="B20" s="22"/>
      <c r="C20" s="4"/>
      <c r="D20" s="4"/>
      <c r="E20" s="3"/>
      <c r="F20" s="29" t="s">
        <v>58</v>
      </c>
      <c r="G20" s="313"/>
      <c r="H20" s="314"/>
      <c r="I20" s="5"/>
      <c r="J20" s="313"/>
      <c r="K20" s="314"/>
      <c r="L20" s="5"/>
      <c r="M20" s="313"/>
      <c r="N20" s="315"/>
      <c r="O20" s="11"/>
      <c r="P20" s="10" t="s">
        <v>71</v>
      </c>
    </row>
    <row r="21" spans="1:16" ht="12.75">
      <c r="A21" s="20"/>
      <c r="B21" s="22"/>
      <c r="C21" s="4"/>
      <c r="D21" s="4"/>
      <c r="E21" s="3"/>
      <c r="F21" s="29" t="s">
        <v>59</v>
      </c>
      <c r="G21" s="313"/>
      <c r="H21" s="314"/>
      <c r="I21" s="5"/>
      <c r="J21" s="313"/>
      <c r="K21" s="314"/>
      <c r="L21" s="5"/>
      <c r="M21" s="313"/>
      <c r="N21" s="315"/>
      <c r="O21" s="11"/>
      <c r="P21" s="10" t="s">
        <v>83</v>
      </c>
    </row>
    <row r="22" spans="1:16" ht="12.75">
      <c r="A22" s="20"/>
      <c r="B22" s="22"/>
      <c r="C22" s="4"/>
      <c r="D22" s="4"/>
      <c r="E22" s="3"/>
      <c r="F22" s="29" t="s">
        <v>78</v>
      </c>
      <c r="G22" s="313"/>
      <c r="H22" s="314"/>
      <c r="I22" s="5"/>
      <c r="J22" s="313"/>
      <c r="K22" s="314"/>
      <c r="L22" s="5"/>
      <c r="M22" s="313"/>
      <c r="N22" s="315"/>
      <c r="O22" s="11"/>
      <c r="P22" s="10" t="s">
        <v>86</v>
      </c>
    </row>
    <row r="23" spans="1:14" ht="11.25">
      <c r="A23" s="20"/>
      <c r="B23" s="4" t="s">
        <v>6</v>
      </c>
      <c r="C23" s="4"/>
      <c r="D23" s="4"/>
      <c r="E23" s="3"/>
      <c r="F23" s="3"/>
      <c r="G23" s="23"/>
      <c r="H23" s="23"/>
      <c r="I23" s="5"/>
      <c r="J23" s="23"/>
      <c r="K23" s="23"/>
      <c r="L23" s="5"/>
      <c r="M23" s="23"/>
      <c r="N23" s="24"/>
    </row>
    <row r="24" spans="1:16" ht="11.25">
      <c r="A24" s="20"/>
      <c r="B24" s="22"/>
      <c r="C24" s="4"/>
      <c r="D24" s="4"/>
      <c r="E24" s="3"/>
      <c r="F24" s="29" t="s">
        <v>20</v>
      </c>
      <c r="G24" s="293">
        <v>0</v>
      </c>
      <c r="H24" s="294"/>
      <c r="I24" s="3"/>
      <c r="J24" s="293">
        <v>0</v>
      </c>
      <c r="K24" s="294"/>
      <c r="L24" s="3"/>
      <c r="M24" s="293">
        <v>0</v>
      </c>
      <c r="N24" s="295"/>
      <c r="P24" s="10" t="s">
        <v>30</v>
      </c>
    </row>
    <row r="25" spans="1:16" ht="11.25">
      <c r="A25" s="20"/>
      <c r="B25" s="22"/>
      <c r="C25" s="4"/>
      <c r="D25" s="4"/>
      <c r="E25" s="3"/>
      <c r="F25" s="29" t="s">
        <v>21</v>
      </c>
      <c r="G25" s="293">
        <v>1</v>
      </c>
      <c r="H25" s="294"/>
      <c r="I25" s="3"/>
      <c r="J25" s="293">
        <v>1</v>
      </c>
      <c r="K25" s="294"/>
      <c r="L25" s="3"/>
      <c r="M25" s="293">
        <v>1</v>
      </c>
      <c r="N25" s="295"/>
      <c r="P25" s="10" t="s">
        <v>31</v>
      </c>
    </row>
    <row r="26" spans="1:14" ht="11.25">
      <c r="A26" s="62" t="s">
        <v>60</v>
      </c>
      <c r="B26" s="22"/>
      <c r="C26" s="4"/>
      <c r="D26" s="4"/>
      <c r="E26" s="3"/>
      <c r="F26" s="29"/>
      <c r="G26" s="60"/>
      <c r="H26" s="60"/>
      <c r="I26" s="5"/>
      <c r="J26" s="60"/>
      <c r="K26" s="60"/>
      <c r="L26" s="5"/>
      <c r="M26" s="60"/>
      <c r="N26" s="61"/>
    </row>
    <row r="27" spans="1:16" ht="11.25">
      <c r="A27" s="20"/>
      <c r="B27" s="22"/>
      <c r="C27" s="4"/>
      <c r="D27" s="4"/>
      <c r="E27" s="3"/>
      <c r="F27" s="29" t="s">
        <v>61</v>
      </c>
      <c r="G27" s="313">
        <f>196366.64-G28</f>
        <v>143910.28000000003</v>
      </c>
      <c r="H27" s="314"/>
      <c r="I27" s="5"/>
      <c r="J27" s="313">
        <f>231146.51-J28</f>
        <v>147393.79</v>
      </c>
      <c r="K27" s="314"/>
      <c r="L27" s="5"/>
      <c r="M27" s="313">
        <f>211889.18-M28</f>
        <v>130182.26</v>
      </c>
      <c r="N27" s="315"/>
      <c r="P27" s="10" t="s">
        <v>91</v>
      </c>
    </row>
    <row r="28" spans="1:16" ht="11.25">
      <c r="A28" s="20"/>
      <c r="B28" s="22"/>
      <c r="C28" s="4"/>
      <c r="D28" s="4"/>
      <c r="E28" s="3"/>
      <c r="F28" s="29" t="s">
        <v>62</v>
      </c>
      <c r="G28" s="313">
        <f>37620+14836.36</f>
        <v>52456.36</v>
      </c>
      <c r="H28" s="314"/>
      <c r="I28" s="5"/>
      <c r="J28" s="313">
        <f>47136.72+36616</f>
        <v>83752.72</v>
      </c>
      <c r="K28" s="314"/>
      <c r="L28" s="5"/>
      <c r="M28" s="313">
        <f>35382+46324.92</f>
        <v>81706.92</v>
      </c>
      <c r="N28" s="315"/>
      <c r="P28" s="10" t="s">
        <v>91</v>
      </c>
    </row>
    <row r="29" spans="1:16" ht="11.25">
      <c r="A29" s="20"/>
      <c r="B29" s="22"/>
      <c r="C29" s="4"/>
      <c r="D29" s="4"/>
      <c r="E29" s="3"/>
      <c r="F29" s="29" t="s">
        <v>63</v>
      </c>
      <c r="G29" s="310">
        <v>67325.55</v>
      </c>
      <c r="H29" s="311"/>
      <c r="I29" s="5"/>
      <c r="J29" s="310">
        <v>81946.02</v>
      </c>
      <c r="K29" s="311"/>
      <c r="L29" s="5"/>
      <c r="M29" s="310">
        <v>75098.87</v>
      </c>
      <c r="N29" s="312"/>
      <c r="P29" s="10" t="s">
        <v>90</v>
      </c>
    </row>
    <row r="30" spans="1:14" ht="11.25">
      <c r="A30" s="20"/>
      <c r="B30" s="22"/>
      <c r="C30" s="4"/>
      <c r="D30" s="4"/>
      <c r="E30" s="3"/>
      <c r="F30" s="29"/>
      <c r="G30" s="73"/>
      <c r="H30" s="74"/>
      <c r="I30" s="5"/>
      <c r="J30" s="73"/>
      <c r="K30" s="74"/>
      <c r="L30" s="5"/>
      <c r="M30" s="73"/>
      <c r="N30" s="75"/>
    </row>
    <row r="31" spans="1:18" ht="11.25">
      <c r="A31" s="20"/>
      <c r="B31" s="4"/>
      <c r="C31" s="4"/>
      <c r="D31" s="4"/>
      <c r="E31" s="3"/>
      <c r="F31" s="63" t="s">
        <v>64</v>
      </c>
      <c r="G31" s="299">
        <f>SUM(G27:H29)/(G11+G18)</f>
        <v>307.69217036172694</v>
      </c>
      <c r="H31" s="300"/>
      <c r="I31" s="22"/>
      <c r="J31" s="299">
        <f>SUM(J27:K29)/(J11+J18)</f>
        <v>271.78171006944444</v>
      </c>
      <c r="K31" s="300"/>
      <c r="L31" s="22"/>
      <c r="M31" s="299">
        <f>SUM(M27:N29)/(M11+M18)</f>
        <v>260.89822727272724</v>
      </c>
      <c r="N31" s="301"/>
      <c r="O31"/>
      <c r="P31" t="s">
        <v>32</v>
      </c>
      <c r="Q31"/>
      <c r="R31"/>
    </row>
    <row r="32" spans="1:14" ht="11.25">
      <c r="A32" s="21" t="s">
        <v>3</v>
      </c>
      <c r="B32" s="22"/>
      <c r="C32" s="4"/>
      <c r="D32" s="4"/>
      <c r="E32" s="3"/>
      <c r="F32" s="3"/>
      <c r="G32" s="8"/>
      <c r="H32" s="8"/>
      <c r="I32" s="3"/>
      <c r="J32" s="8"/>
      <c r="K32" s="8"/>
      <c r="L32" s="3"/>
      <c r="M32" s="8"/>
      <c r="N32" s="25"/>
    </row>
    <row r="33" spans="1:22" ht="11.25">
      <c r="A33" s="20"/>
      <c r="B33" s="22"/>
      <c r="C33" s="4"/>
      <c r="D33" s="48"/>
      <c r="E33" s="49"/>
      <c r="F33" s="50" t="s">
        <v>43</v>
      </c>
      <c r="G33" s="302">
        <v>1</v>
      </c>
      <c r="H33" s="303"/>
      <c r="I33" s="56"/>
      <c r="J33" s="302">
        <v>0.9</v>
      </c>
      <c r="K33" s="303"/>
      <c r="L33" s="56"/>
      <c r="M33" s="302">
        <v>0.9</v>
      </c>
      <c r="N33" s="304"/>
      <c r="O33"/>
      <c r="P33" s="46" t="s">
        <v>47</v>
      </c>
      <c r="Q33" s="47"/>
      <c r="R33" s="47"/>
      <c r="S33" s="46"/>
      <c r="T33" s="46"/>
      <c r="U33" s="46"/>
      <c r="V33" s="46"/>
    </row>
    <row r="34" spans="1:22" ht="11.25">
      <c r="A34" s="20"/>
      <c r="B34" s="22"/>
      <c r="C34" s="4"/>
      <c r="D34" s="48"/>
      <c r="E34" s="49"/>
      <c r="F34" s="50" t="s">
        <v>44</v>
      </c>
      <c r="G34" s="302">
        <f>1/36*45</f>
        <v>1.25</v>
      </c>
      <c r="H34" s="303"/>
      <c r="I34" s="56"/>
      <c r="J34" s="302">
        <f>1/36*45</f>
        <v>1.25</v>
      </c>
      <c r="K34" s="303"/>
      <c r="L34" s="56"/>
      <c r="M34" s="302">
        <f>1/36*45</f>
        <v>1.25</v>
      </c>
      <c r="N34" s="304"/>
      <c r="O34"/>
      <c r="P34" s="46" t="s">
        <v>48</v>
      </c>
      <c r="Q34" s="47"/>
      <c r="R34" s="47"/>
      <c r="S34" s="46"/>
      <c r="T34" s="46"/>
      <c r="U34" s="46"/>
      <c r="V34" s="46"/>
    </row>
    <row r="35" spans="1:22" ht="11.25">
      <c r="A35" s="20"/>
      <c r="B35" s="22"/>
      <c r="C35" s="4"/>
      <c r="D35" s="48"/>
      <c r="E35" s="49"/>
      <c r="F35" s="50" t="s">
        <v>45</v>
      </c>
      <c r="G35" s="307">
        <f>0.1/36*45</f>
        <v>0.125</v>
      </c>
      <c r="H35" s="308"/>
      <c r="I35" s="56"/>
      <c r="J35" s="307">
        <f>0.2/36*45</f>
        <v>0.25</v>
      </c>
      <c r="K35" s="308"/>
      <c r="L35" s="56"/>
      <c r="M35" s="307">
        <f>0.2/36*45</f>
        <v>0.25</v>
      </c>
      <c r="N35" s="309"/>
      <c r="O35"/>
      <c r="P35" s="46" t="s">
        <v>50</v>
      </c>
      <c r="Q35" s="47"/>
      <c r="R35" s="47"/>
      <c r="S35" s="46"/>
      <c r="T35" s="46"/>
      <c r="U35" s="46"/>
      <c r="V35" s="46"/>
    </row>
    <row r="36" spans="1:22" ht="11.25">
      <c r="A36" s="20"/>
      <c r="B36" s="22"/>
      <c r="C36" s="4"/>
      <c r="D36" s="48"/>
      <c r="E36" s="49"/>
      <c r="F36" s="50" t="s">
        <v>46</v>
      </c>
      <c r="G36" s="305">
        <v>0</v>
      </c>
      <c r="H36" s="305"/>
      <c r="I36" s="56"/>
      <c r="J36" s="305">
        <v>0</v>
      </c>
      <c r="K36" s="305"/>
      <c r="L36" s="56"/>
      <c r="M36" s="305">
        <v>0</v>
      </c>
      <c r="N36" s="306"/>
      <c r="O36"/>
      <c r="P36" s="46" t="s">
        <v>49</v>
      </c>
      <c r="Q36" s="47"/>
      <c r="R36" s="47"/>
      <c r="S36" s="46"/>
      <c r="T36" s="46"/>
      <c r="U36" s="46"/>
      <c r="V36" s="46"/>
    </row>
    <row r="37" spans="1:18" s="69" customFormat="1" ht="11.25">
      <c r="A37" s="64"/>
      <c r="B37" s="65"/>
      <c r="C37" s="66"/>
      <c r="D37" s="66"/>
      <c r="E37" s="5"/>
      <c r="F37" s="67"/>
      <c r="G37" s="70"/>
      <c r="H37" s="70"/>
      <c r="I37" s="68"/>
      <c r="J37" s="70"/>
      <c r="K37" s="70"/>
      <c r="L37" s="68"/>
      <c r="M37" s="70"/>
      <c r="N37" s="71"/>
      <c r="O37" s="12"/>
      <c r="Q37" s="12"/>
      <c r="R37" s="12"/>
    </row>
    <row r="38" spans="1:22" ht="11.25">
      <c r="A38" s="20"/>
      <c r="B38" s="22"/>
      <c r="C38" s="4"/>
      <c r="D38" s="48"/>
      <c r="E38" s="49"/>
      <c r="F38" s="50" t="s">
        <v>66</v>
      </c>
      <c r="G38" s="305">
        <v>200</v>
      </c>
      <c r="H38" s="305"/>
      <c r="I38" s="56"/>
      <c r="J38" s="305">
        <v>295</v>
      </c>
      <c r="K38" s="305"/>
      <c r="L38" s="56"/>
      <c r="M38" s="305">
        <v>247</v>
      </c>
      <c r="N38" s="306"/>
      <c r="O38"/>
      <c r="P38" s="46" t="s">
        <v>72</v>
      </c>
      <c r="Q38" s="47"/>
      <c r="R38" s="47"/>
      <c r="S38" s="46"/>
      <c r="T38" s="46"/>
      <c r="U38" s="46"/>
      <c r="V38" s="46"/>
    </row>
    <row r="39" spans="1:22" ht="11.25">
      <c r="A39" s="20"/>
      <c r="B39" s="22"/>
      <c r="C39" s="4"/>
      <c r="D39" s="48"/>
      <c r="E39" s="49"/>
      <c r="F39" s="50" t="s">
        <v>65</v>
      </c>
      <c r="G39" s="299">
        <v>980</v>
      </c>
      <c r="H39" s="300"/>
      <c r="I39" s="56"/>
      <c r="J39" s="299">
        <v>1395</v>
      </c>
      <c r="K39" s="300"/>
      <c r="L39" s="56"/>
      <c r="M39" s="299">
        <v>1355</v>
      </c>
      <c r="N39" s="301"/>
      <c r="O39"/>
      <c r="P39" s="46" t="s">
        <v>73</v>
      </c>
      <c r="Q39" s="47"/>
      <c r="R39" s="47"/>
      <c r="S39" s="46"/>
      <c r="T39" s="46"/>
      <c r="U39" s="46"/>
      <c r="V39" s="46"/>
    </row>
    <row r="40" spans="1:22" ht="11.25">
      <c r="A40" s="20"/>
      <c r="B40" s="22"/>
      <c r="C40" s="4"/>
      <c r="D40" s="48"/>
      <c r="E40" s="49"/>
      <c r="F40" s="50" t="s">
        <v>67</v>
      </c>
      <c r="G40" s="302">
        <v>12</v>
      </c>
      <c r="H40" s="303"/>
      <c r="I40" s="56"/>
      <c r="J40" s="302">
        <v>22</v>
      </c>
      <c r="K40" s="303"/>
      <c r="L40" s="56"/>
      <c r="M40" s="302">
        <v>54</v>
      </c>
      <c r="N40" s="304"/>
      <c r="O40"/>
      <c r="P40" s="46" t="s">
        <v>75</v>
      </c>
      <c r="Q40" s="47"/>
      <c r="R40" s="47"/>
      <c r="S40" s="46"/>
      <c r="T40" s="46"/>
      <c r="U40" s="46"/>
      <c r="V40" s="46"/>
    </row>
    <row r="41" spans="1:22" ht="11.25">
      <c r="A41" s="20"/>
      <c r="B41" s="22"/>
      <c r="C41" s="4"/>
      <c r="D41" s="48"/>
      <c r="E41" s="49"/>
      <c r="F41" s="50" t="s">
        <v>68</v>
      </c>
      <c r="G41" s="302">
        <v>0</v>
      </c>
      <c r="H41" s="303"/>
      <c r="I41" s="56"/>
      <c r="J41" s="302">
        <v>0</v>
      </c>
      <c r="K41" s="303"/>
      <c r="L41" s="56"/>
      <c r="M41" s="302">
        <v>0</v>
      </c>
      <c r="N41" s="304"/>
      <c r="O41"/>
      <c r="P41" s="46" t="s">
        <v>74</v>
      </c>
      <c r="Q41" s="47"/>
      <c r="R41" s="47"/>
      <c r="S41" s="46"/>
      <c r="T41" s="46"/>
      <c r="U41" s="46"/>
      <c r="V41" s="46"/>
    </row>
    <row r="42" spans="1:18" ht="11.25">
      <c r="A42" s="20"/>
      <c r="B42" s="4"/>
      <c r="C42" s="4"/>
      <c r="D42" s="4"/>
      <c r="E42" s="3"/>
      <c r="F42" s="3"/>
      <c r="G42" s="9"/>
      <c r="H42" s="9"/>
      <c r="I42" s="22"/>
      <c r="J42" s="9"/>
      <c r="K42" s="9"/>
      <c r="L42" s="22"/>
      <c r="M42" s="9"/>
      <c r="N42" s="26"/>
      <c r="O42"/>
      <c r="P42"/>
      <c r="Q42"/>
      <c r="R42"/>
    </row>
    <row r="43" spans="1:18" ht="11.25">
      <c r="A43" s="20"/>
      <c r="B43" s="22"/>
      <c r="C43" s="4"/>
      <c r="D43" s="4"/>
      <c r="E43" s="3"/>
      <c r="F43" s="29" t="s">
        <v>22</v>
      </c>
      <c r="G43" s="302">
        <f>+(G11+G18)/(G33+G34)</f>
        <v>380.8888888888889</v>
      </c>
      <c r="H43" s="303"/>
      <c r="I43" s="22"/>
      <c r="J43" s="302">
        <f>+(J11+J18)/(J33+J34)</f>
        <v>535.8139534883721</v>
      </c>
      <c r="K43" s="303"/>
      <c r="L43" s="22"/>
      <c r="M43" s="302">
        <f>+(M11+M18)/(M33+M34)</f>
        <v>511.6279069767442</v>
      </c>
      <c r="N43" s="303"/>
      <c r="O43"/>
      <c r="P43" t="s">
        <v>32</v>
      </c>
      <c r="Q43"/>
      <c r="R43"/>
    </row>
    <row r="44" spans="1:18" ht="11.25">
      <c r="A44" s="20"/>
      <c r="B44" s="22"/>
      <c r="C44" s="4"/>
      <c r="D44" s="103"/>
      <c r="E44" s="104"/>
      <c r="F44" s="102" t="s">
        <v>215</v>
      </c>
      <c r="G44" s="302">
        <f>(G11+G18)/SUM(G33:H36)</f>
        <v>360.8421052631579</v>
      </c>
      <c r="H44" s="303"/>
      <c r="I44" s="22"/>
      <c r="J44" s="302">
        <f>(J11+J18)/SUM(J33:K36)</f>
        <v>480</v>
      </c>
      <c r="K44" s="303"/>
      <c r="L44" s="22"/>
      <c r="M44" s="302">
        <f>(M11+M18)/SUM(M33:N36)</f>
        <v>458.33333333333337</v>
      </c>
      <c r="N44" s="303"/>
      <c r="O44"/>
      <c r="P44"/>
      <c r="Q44"/>
      <c r="R44"/>
    </row>
    <row r="45" spans="1:17" ht="11.25">
      <c r="A45" s="20"/>
      <c r="B45" s="4"/>
      <c r="C45" s="4"/>
      <c r="D45" s="4"/>
      <c r="E45" s="3"/>
      <c r="F45" s="3"/>
      <c r="G45" s="34" t="s">
        <v>24</v>
      </c>
      <c r="H45" s="34" t="s">
        <v>23</v>
      </c>
      <c r="I45" s="28"/>
      <c r="J45" s="34" t="s">
        <v>24</v>
      </c>
      <c r="K45" s="34" t="s">
        <v>23</v>
      </c>
      <c r="L45" s="28"/>
      <c r="M45" s="34" t="s">
        <v>24</v>
      </c>
      <c r="N45" s="35" t="s">
        <v>23</v>
      </c>
      <c r="O45" s="14"/>
      <c r="P45" s="13"/>
      <c r="Q45" s="31"/>
    </row>
    <row r="46" spans="1:22" ht="11.25">
      <c r="A46" s="20"/>
      <c r="B46" s="4"/>
      <c r="C46" s="4"/>
      <c r="D46" s="52"/>
      <c r="E46" s="53"/>
      <c r="F46" s="54" t="s">
        <v>25</v>
      </c>
      <c r="G46" s="76">
        <v>1</v>
      </c>
      <c r="H46" s="32">
        <f>G46/SUM($G$46:$G$49)</f>
        <v>0.5</v>
      </c>
      <c r="I46" s="28"/>
      <c r="J46" s="76">
        <v>1</v>
      </c>
      <c r="K46" s="32">
        <f>J46/SUM($J$46:$J$49)</f>
        <v>0.5</v>
      </c>
      <c r="L46" s="28"/>
      <c r="M46" s="76">
        <v>1</v>
      </c>
      <c r="N46" s="36">
        <f>M46/SUM($M$46:$M$49)</f>
        <v>0.5</v>
      </c>
      <c r="O46" s="14"/>
      <c r="P46" s="55" t="s">
        <v>84</v>
      </c>
      <c r="Q46" s="51"/>
      <c r="R46" s="55"/>
      <c r="S46" s="55"/>
      <c r="T46" s="55"/>
      <c r="U46" s="55"/>
      <c r="V46" s="55"/>
    </row>
    <row r="47" spans="1:22" ht="11.25">
      <c r="A47" s="20"/>
      <c r="B47" s="4"/>
      <c r="C47" s="4"/>
      <c r="D47" s="52"/>
      <c r="E47" s="53"/>
      <c r="F47" s="54" t="s">
        <v>13</v>
      </c>
      <c r="G47" s="76">
        <v>1</v>
      </c>
      <c r="H47" s="32">
        <f aca="true" t="shared" si="0" ref="H47:H49">G47/SUM($G$46:$G$49)</f>
        <v>0.5</v>
      </c>
      <c r="I47" s="28"/>
      <c r="J47" s="76">
        <v>1</v>
      </c>
      <c r="K47" s="32">
        <f aca="true" t="shared" si="1" ref="K47:K49">J47/SUM($J$46:$J$49)</f>
        <v>0.5</v>
      </c>
      <c r="L47" s="28"/>
      <c r="M47" s="76">
        <v>1</v>
      </c>
      <c r="N47" s="36">
        <f aca="true" t="shared" si="2" ref="N47:N49">M47/SUM($M$46:$M$49)</f>
        <v>0.5</v>
      </c>
      <c r="O47" s="14"/>
      <c r="P47" s="55" t="s">
        <v>84</v>
      </c>
      <c r="Q47" s="51"/>
      <c r="R47" s="55"/>
      <c r="S47" s="55"/>
      <c r="T47" s="55"/>
      <c r="U47" s="55"/>
      <c r="V47" s="55"/>
    </row>
    <row r="48" spans="1:22" ht="11.25">
      <c r="A48" s="20"/>
      <c r="B48" s="4"/>
      <c r="C48" s="4"/>
      <c r="D48" s="52"/>
      <c r="E48" s="53"/>
      <c r="F48" s="54" t="s">
        <v>51</v>
      </c>
      <c r="G48" s="76">
        <v>0</v>
      </c>
      <c r="H48" s="32">
        <f t="shared" si="0"/>
        <v>0</v>
      </c>
      <c r="I48" s="28"/>
      <c r="J48" s="76">
        <v>0</v>
      </c>
      <c r="K48" s="32">
        <f t="shared" si="1"/>
        <v>0</v>
      </c>
      <c r="L48" s="28"/>
      <c r="M48" s="76">
        <v>0</v>
      </c>
      <c r="N48" s="36">
        <f t="shared" si="2"/>
        <v>0</v>
      </c>
      <c r="O48" s="14"/>
      <c r="P48" s="55" t="s">
        <v>85</v>
      </c>
      <c r="Q48" s="51"/>
      <c r="R48" s="55"/>
      <c r="S48" s="55"/>
      <c r="T48" s="55"/>
      <c r="U48" s="55"/>
      <c r="V48" s="55"/>
    </row>
    <row r="49" spans="1:22" ht="11.25">
      <c r="A49" s="20"/>
      <c r="B49" s="4"/>
      <c r="C49" s="4"/>
      <c r="D49" s="52"/>
      <c r="E49" s="53"/>
      <c r="F49" s="54" t="s">
        <v>52</v>
      </c>
      <c r="G49" s="76">
        <v>0</v>
      </c>
      <c r="H49" s="32">
        <f t="shared" si="0"/>
        <v>0</v>
      </c>
      <c r="I49" s="28"/>
      <c r="J49" s="76">
        <v>0</v>
      </c>
      <c r="K49" s="32">
        <f t="shared" si="1"/>
        <v>0</v>
      </c>
      <c r="L49" s="28"/>
      <c r="M49" s="76">
        <v>0</v>
      </c>
      <c r="N49" s="36">
        <f t="shared" si="2"/>
        <v>0</v>
      </c>
      <c r="O49" s="14"/>
      <c r="P49" s="55" t="s">
        <v>85</v>
      </c>
      <c r="Q49" s="51"/>
      <c r="R49" s="55"/>
      <c r="S49" s="55"/>
      <c r="T49" s="55"/>
      <c r="U49" s="55"/>
      <c r="V49" s="55"/>
    </row>
    <row r="50" spans="1:14" ht="11.25">
      <c r="A50" s="21" t="s">
        <v>4</v>
      </c>
      <c r="B50" s="22"/>
      <c r="C50" s="4"/>
      <c r="D50" s="4"/>
      <c r="E50" s="3"/>
      <c r="F50" s="3"/>
      <c r="G50" s="8"/>
      <c r="H50" s="8"/>
      <c r="I50" s="3"/>
      <c r="J50" s="8"/>
      <c r="K50" s="8"/>
      <c r="L50" s="3"/>
      <c r="M50" s="8"/>
      <c r="N50" s="25"/>
    </row>
    <row r="51" spans="1:16" ht="11.25">
      <c r="A51" s="21"/>
      <c r="B51" s="22"/>
      <c r="C51" s="4"/>
      <c r="D51" s="4"/>
      <c r="E51" s="3"/>
      <c r="F51" s="63" t="s">
        <v>77</v>
      </c>
      <c r="G51" s="293">
        <v>0.893</v>
      </c>
      <c r="H51" s="294"/>
      <c r="I51" s="72"/>
      <c r="J51" s="293">
        <v>0.865</v>
      </c>
      <c r="K51" s="294"/>
      <c r="L51" s="72"/>
      <c r="M51" s="293">
        <v>0.855</v>
      </c>
      <c r="N51" s="295"/>
      <c r="P51" s="10" t="s">
        <v>87</v>
      </c>
    </row>
    <row r="52" spans="1:16" ht="11.25">
      <c r="A52" s="21"/>
      <c r="B52" s="22"/>
      <c r="C52" s="4"/>
      <c r="D52" s="4"/>
      <c r="E52" s="3"/>
      <c r="F52" s="63" t="s">
        <v>76</v>
      </c>
      <c r="G52" s="293">
        <v>0.147</v>
      </c>
      <c r="H52" s="294"/>
      <c r="I52" s="72"/>
      <c r="J52" s="293">
        <v>0.189</v>
      </c>
      <c r="K52" s="294"/>
      <c r="L52" s="72"/>
      <c r="M52" s="293">
        <v>0.201</v>
      </c>
      <c r="N52" s="295"/>
      <c r="P52" s="10" t="s">
        <v>79</v>
      </c>
    </row>
    <row r="53" spans="1:16" ht="11" customHeight="1">
      <c r="A53" s="20"/>
      <c r="B53" s="23"/>
      <c r="C53" s="4"/>
      <c r="D53" s="4"/>
      <c r="E53" s="3"/>
      <c r="F53" s="29" t="s">
        <v>10</v>
      </c>
      <c r="G53" s="296">
        <v>0</v>
      </c>
      <c r="H53" s="297"/>
      <c r="I53" s="3"/>
      <c r="J53" s="296">
        <v>1</v>
      </c>
      <c r="K53" s="297"/>
      <c r="L53" s="3"/>
      <c r="M53" s="296">
        <v>1</v>
      </c>
      <c r="N53" s="298"/>
      <c r="P53" s="10" t="s">
        <v>34</v>
      </c>
    </row>
    <row r="54" spans="1:16" ht="11.25">
      <c r="A54" s="20"/>
      <c r="B54" s="23"/>
      <c r="C54" s="4"/>
      <c r="D54" s="4"/>
      <c r="E54" s="3"/>
      <c r="F54" s="29" t="s">
        <v>8</v>
      </c>
      <c r="G54" s="296">
        <v>5</v>
      </c>
      <c r="H54" s="297"/>
      <c r="I54" s="14"/>
      <c r="J54" s="296">
        <v>10</v>
      </c>
      <c r="K54" s="297"/>
      <c r="L54" s="14"/>
      <c r="M54" s="296">
        <v>12</v>
      </c>
      <c r="N54" s="298"/>
      <c r="P54" s="10" t="s">
        <v>36</v>
      </c>
    </row>
    <row r="55" spans="1:16" ht="11.25">
      <c r="A55" s="20"/>
      <c r="B55" s="23"/>
      <c r="C55" s="4"/>
      <c r="D55" s="4"/>
      <c r="E55" s="3"/>
      <c r="F55" s="42" t="s">
        <v>11</v>
      </c>
      <c r="G55" s="296">
        <v>26.9</v>
      </c>
      <c r="H55" s="297"/>
      <c r="I55" s="3"/>
      <c r="J55" s="296">
        <v>24</v>
      </c>
      <c r="K55" s="297"/>
      <c r="L55" s="3"/>
      <c r="M55" s="296">
        <v>25.7</v>
      </c>
      <c r="N55" s="298"/>
      <c r="P55" s="10" t="s">
        <v>42</v>
      </c>
    </row>
    <row r="56" spans="1:19" ht="11.25">
      <c r="A56" s="20"/>
      <c r="B56" s="22"/>
      <c r="C56" s="4"/>
      <c r="D56" s="4"/>
      <c r="E56" s="3"/>
      <c r="F56" s="29" t="s">
        <v>9</v>
      </c>
      <c r="G56" s="293">
        <v>0.4</v>
      </c>
      <c r="H56" s="294"/>
      <c r="I56" s="3"/>
      <c r="J56" s="293">
        <v>0.65</v>
      </c>
      <c r="K56" s="294"/>
      <c r="L56" s="3"/>
      <c r="M56" s="293">
        <v>0.53</v>
      </c>
      <c r="N56" s="295"/>
      <c r="P56" s="10" t="s">
        <v>37</v>
      </c>
      <c r="Q56"/>
      <c r="R56"/>
      <c r="S56"/>
    </row>
    <row r="57" spans="1:19" ht="11.25">
      <c r="A57" s="20"/>
      <c r="B57" s="22"/>
      <c r="C57" s="4"/>
      <c r="D57" s="4"/>
      <c r="E57" s="27"/>
      <c r="F57" s="29" t="s">
        <v>12</v>
      </c>
      <c r="G57" s="296">
        <v>1</v>
      </c>
      <c r="H57" s="297"/>
      <c r="I57" s="28"/>
      <c r="J57" s="296">
        <v>1</v>
      </c>
      <c r="K57" s="297"/>
      <c r="L57" s="28"/>
      <c r="M57" s="296">
        <v>0</v>
      </c>
      <c r="N57" s="298"/>
      <c r="P57" s="10" t="s">
        <v>38</v>
      </c>
      <c r="Q57"/>
      <c r="R57"/>
      <c r="S57"/>
    </row>
    <row r="58" spans="1:19" ht="11.25">
      <c r="A58" s="20"/>
      <c r="B58" s="22"/>
      <c r="C58" s="4"/>
      <c r="D58" s="4"/>
      <c r="E58" s="3"/>
      <c r="F58" s="29" t="s">
        <v>19</v>
      </c>
      <c r="G58" s="293">
        <v>0.591</v>
      </c>
      <c r="H58" s="294"/>
      <c r="I58" s="28"/>
      <c r="J58" s="293">
        <v>0.4</v>
      </c>
      <c r="K58" s="294"/>
      <c r="L58" s="28"/>
      <c r="M58" s="293">
        <v>0.353</v>
      </c>
      <c r="N58" s="295"/>
      <c r="P58" s="10" t="s">
        <v>39</v>
      </c>
      <c r="Q58"/>
      <c r="R58"/>
      <c r="S58"/>
    </row>
    <row r="59" spans="1:19" ht="11.25">
      <c r="A59" s="20"/>
      <c r="B59" s="22"/>
      <c r="C59" s="4"/>
      <c r="D59" s="4"/>
      <c r="E59" s="3"/>
      <c r="F59" s="29" t="s">
        <v>0</v>
      </c>
      <c r="G59" s="293">
        <v>0.074</v>
      </c>
      <c r="H59" s="294"/>
      <c r="I59" s="28"/>
      <c r="J59" s="293">
        <v>0.118</v>
      </c>
      <c r="K59" s="294"/>
      <c r="L59" s="28"/>
      <c r="M59" s="293">
        <v>-0.034</v>
      </c>
      <c r="N59" s="295"/>
      <c r="P59" s="10" t="s">
        <v>40</v>
      </c>
      <c r="Q59"/>
      <c r="R59"/>
      <c r="S59"/>
    </row>
    <row r="60" spans="1:14" ht="11.25">
      <c r="A60" s="21" t="s">
        <v>1</v>
      </c>
      <c r="B60" s="28"/>
      <c r="C60" s="28"/>
      <c r="D60" s="28"/>
      <c r="E60" s="28"/>
      <c r="F60" s="28"/>
      <c r="G60" s="28"/>
      <c r="H60" s="28"/>
      <c r="I60" s="28"/>
      <c r="J60" s="28"/>
      <c r="K60" s="28"/>
      <c r="L60" s="28"/>
      <c r="M60" s="28"/>
      <c r="N60" s="33"/>
    </row>
    <row r="61" spans="1:16" ht="11.25">
      <c r="A61" s="37" t="s">
        <v>98</v>
      </c>
      <c r="B61" s="28"/>
      <c r="C61" s="28"/>
      <c r="D61" s="28"/>
      <c r="E61" s="28"/>
      <c r="F61" s="28"/>
      <c r="G61" s="28"/>
      <c r="H61" s="28"/>
      <c r="I61" s="28"/>
      <c r="J61" s="28"/>
      <c r="K61" s="28"/>
      <c r="L61" s="28"/>
      <c r="M61" s="28"/>
      <c r="N61" s="33"/>
      <c r="P61" t="s">
        <v>35</v>
      </c>
    </row>
    <row r="62" spans="1:14" ht="11.25">
      <c r="A62" s="38"/>
      <c r="B62" s="23"/>
      <c r="C62" s="23"/>
      <c r="D62" s="23"/>
      <c r="E62" s="23"/>
      <c r="F62" s="23"/>
      <c r="G62" s="23"/>
      <c r="H62" s="23"/>
      <c r="I62" s="23"/>
      <c r="J62" s="23"/>
      <c r="K62" s="23"/>
      <c r="L62" s="23"/>
      <c r="M62" s="23"/>
      <c r="N62" s="24"/>
    </row>
    <row r="63" spans="1:14" ht="11.25">
      <c r="A63" s="38"/>
      <c r="B63" s="23"/>
      <c r="C63" s="23"/>
      <c r="D63" s="23"/>
      <c r="E63" s="23"/>
      <c r="F63" s="23"/>
      <c r="G63" s="23"/>
      <c r="H63" s="23"/>
      <c r="I63" s="23"/>
      <c r="J63" s="23"/>
      <c r="K63" s="23"/>
      <c r="L63" s="23"/>
      <c r="M63" s="23"/>
      <c r="N63" s="24"/>
    </row>
    <row r="64" spans="1:16" ht="11.25">
      <c r="A64" s="38"/>
      <c r="B64" s="23"/>
      <c r="C64" s="23"/>
      <c r="D64" s="23"/>
      <c r="E64" s="23"/>
      <c r="F64" s="23"/>
      <c r="G64" s="23"/>
      <c r="H64" s="23"/>
      <c r="I64" s="23"/>
      <c r="J64" s="23"/>
      <c r="K64" s="23"/>
      <c r="L64" s="23"/>
      <c r="M64" s="23"/>
      <c r="N64" s="24"/>
      <c r="P64" s="44" t="s">
        <v>41</v>
      </c>
    </row>
    <row r="65" spans="1:14" ht="11.25">
      <c r="A65" s="38"/>
      <c r="B65" s="23"/>
      <c r="C65" s="23"/>
      <c r="D65" s="23"/>
      <c r="E65" s="23"/>
      <c r="F65" s="23"/>
      <c r="G65" s="23"/>
      <c r="H65" s="23"/>
      <c r="I65" s="23"/>
      <c r="J65" s="23"/>
      <c r="K65" s="23"/>
      <c r="L65" s="23"/>
      <c r="M65" s="23"/>
      <c r="N65" s="24"/>
    </row>
    <row r="66" spans="1:14" ht="12.75" thickBot="1">
      <c r="A66" s="39"/>
      <c r="B66" s="40"/>
      <c r="C66" s="40"/>
      <c r="D66" s="40"/>
      <c r="E66" s="40"/>
      <c r="F66" s="40"/>
      <c r="G66" s="40"/>
      <c r="H66" s="40"/>
      <c r="I66" s="40"/>
      <c r="J66" s="40"/>
      <c r="K66" s="40"/>
      <c r="L66" s="40"/>
      <c r="M66" s="40"/>
      <c r="N66" s="41"/>
    </row>
  </sheetData>
  <mergeCells count="122">
    <mergeCell ref="G5:H5"/>
    <mergeCell ref="G6:H6"/>
    <mergeCell ref="G7:H7"/>
    <mergeCell ref="G8:H8"/>
    <mergeCell ref="G9:H9"/>
    <mergeCell ref="J9:K9"/>
    <mergeCell ref="G2:N2"/>
    <mergeCell ref="G3:H3"/>
    <mergeCell ref="J3:K3"/>
    <mergeCell ref="M3:N3"/>
    <mergeCell ref="G4:H4"/>
    <mergeCell ref="J4:K4"/>
    <mergeCell ref="M4:N4"/>
    <mergeCell ref="G13:H13"/>
    <mergeCell ref="J13:K13"/>
    <mergeCell ref="M13:N13"/>
    <mergeCell ref="G14:H14"/>
    <mergeCell ref="J14:K14"/>
    <mergeCell ref="M14:N14"/>
    <mergeCell ref="M9:N9"/>
    <mergeCell ref="G11:H11"/>
    <mergeCell ref="J11:K11"/>
    <mergeCell ref="M11:N11"/>
    <mergeCell ref="G12:H12"/>
    <mergeCell ref="J12:K12"/>
    <mergeCell ref="M12:N12"/>
    <mergeCell ref="G18:H18"/>
    <mergeCell ref="J18:K18"/>
    <mergeCell ref="M18:N18"/>
    <mergeCell ref="G19:H19"/>
    <mergeCell ref="J19:K19"/>
    <mergeCell ref="M19:N19"/>
    <mergeCell ref="G15:H15"/>
    <mergeCell ref="J15:K15"/>
    <mergeCell ref="M15:N15"/>
    <mergeCell ref="G16:H16"/>
    <mergeCell ref="J16:K16"/>
    <mergeCell ref="M16:N16"/>
    <mergeCell ref="G22:H22"/>
    <mergeCell ref="J22:K22"/>
    <mergeCell ref="M22:N22"/>
    <mergeCell ref="G24:H24"/>
    <mergeCell ref="J24:K24"/>
    <mergeCell ref="M24:N24"/>
    <mergeCell ref="G20:H20"/>
    <mergeCell ref="J20:K20"/>
    <mergeCell ref="M20:N20"/>
    <mergeCell ref="G21:H21"/>
    <mergeCell ref="J21:K21"/>
    <mergeCell ref="M21:N21"/>
    <mergeCell ref="G28:H28"/>
    <mergeCell ref="J28:K28"/>
    <mergeCell ref="M28:N28"/>
    <mergeCell ref="G29:H29"/>
    <mergeCell ref="J29:K29"/>
    <mergeCell ref="M29:N29"/>
    <mergeCell ref="G25:H25"/>
    <mergeCell ref="J25:K25"/>
    <mergeCell ref="M25:N25"/>
    <mergeCell ref="G27:H27"/>
    <mergeCell ref="J27:K27"/>
    <mergeCell ref="M27:N27"/>
    <mergeCell ref="G34:H34"/>
    <mergeCell ref="J34:K34"/>
    <mergeCell ref="M34:N34"/>
    <mergeCell ref="G35:H35"/>
    <mergeCell ref="J35:K35"/>
    <mergeCell ref="M35:N35"/>
    <mergeCell ref="G31:H31"/>
    <mergeCell ref="J31:K31"/>
    <mergeCell ref="M31:N31"/>
    <mergeCell ref="G33:H33"/>
    <mergeCell ref="J33:K33"/>
    <mergeCell ref="M33:N33"/>
    <mergeCell ref="G39:H39"/>
    <mergeCell ref="J39:K39"/>
    <mergeCell ref="M39:N39"/>
    <mergeCell ref="G40:H40"/>
    <mergeCell ref="J40:K40"/>
    <mergeCell ref="M40:N40"/>
    <mergeCell ref="G36:H36"/>
    <mergeCell ref="J36:K36"/>
    <mergeCell ref="M36:N36"/>
    <mergeCell ref="G38:H38"/>
    <mergeCell ref="J38:K38"/>
    <mergeCell ref="M38:N38"/>
    <mergeCell ref="G51:H51"/>
    <mergeCell ref="J51:K51"/>
    <mergeCell ref="M51:N51"/>
    <mergeCell ref="G52:H52"/>
    <mergeCell ref="J52:K52"/>
    <mergeCell ref="M52:N52"/>
    <mergeCell ref="G41:H41"/>
    <mergeCell ref="J41:K41"/>
    <mergeCell ref="M41:N41"/>
    <mergeCell ref="G43:H43"/>
    <mergeCell ref="J43:K43"/>
    <mergeCell ref="M43:N43"/>
    <mergeCell ref="G59:H59"/>
    <mergeCell ref="J59:K59"/>
    <mergeCell ref="M59:N59"/>
    <mergeCell ref="M44:N44"/>
    <mergeCell ref="J44:K44"/>
    <mergeCell ref="G44:H44"/>
    <mergeCell ref="G57:H57"/>
    <mergeCell ref="J57:K57"/>
    <mergeCell ref="M57:N57"/>
    <mergeCell ref="G58:H58"/>
    <mergeCell ref="J58:K58"/>
    <mergeCell ref="M58:N58"/>
    <mergeCell ref="G55:H55"/>
    <mergeCell ref="J55:K55"/>
    <mergeCell ref="M55:N55"/>
    <mergeCell ref="G56:H56"/>
    <mergeCell ref="J56:K56"/>
    <mergeCell ref="M56:N56"/>
    <mergeCell ref="G53:H53"/>
    <mergeCell ref="J53:K53"/>
    <mergeCell ref="M53:N53"/>
    <mergeCell ref="G54:H54"/>
    <mergeCell ref="J54:K54"/>
    <mergeCell ref="M54:N54"/>
  </mergeCells>
  <printOptions/>
  <pageMargins left="0.25" right="0.25" top="0.75" bottom="0.75" header="0.3" footer="0.3"/>
  <pageSetup fitToHeight="1" fitToWidth="1" horizontalDpi="1200" verticalDpi="1200" orientation="portrait" scale="94" r:id="rId3"/>
  <colBreaks count="1" manualBreakCount="1">
    <brk id="14" max="16383" man="1"/>
  </col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V66"/>
  <sheetViews>
    <sheetView showGridLines="0" workbookViewId="0" topLeftCell="A16">
      <selection activeCell="M43" sqref="M43:N43"/>
    </sheetView>
  </sheetViews>
  <sheetFormatPr defaultColWidth="9.00390625" defaultRowHeight="11.25"/>
  <cols>
    <col min="1" max="1" width="4.625" style="1" customWidth="1"/>
    <col min="2" max="5" width="9.00390625" style="1" customWidth="1"/>
    <col min="6" max="6" width="7.125" style="1" customWidth="1"/>
    <col min="7" max="8" width="9.125" style="1" customWidth="1"/>
    <col min="9" max="9" width="1.75390625" style="1" customWidth="1"/>
    <col min="10" max="11" width="9.125" style="1" customWidth="1"/>
    <col min="12" max="12" width="1.75390625" style="1" customWidth="1"/>
    <col min="13" max="14" width="9.125" style="1" customWidth="1"/>
    <col min="15" max="15" width="3.75390625" style="10" customWidth="1"/>
    <col min="16" max="16384" width="9.00390625" style="10" customWidth="1"/>
  </cols>
  <sheetData>
    <row r="1" spans="1:14" s="12" customFormat="1" ht="11.25">
      <c r="A1" s="17" t="s">
        <v>88</v>
      </c>
      <c r="B1" s="18"/>
      <c r="C1" s="18"/>
      <c r="D1" s="18"/>
      <c r="E1" s="18"/>
      <c r="F1" s="18"/>
      <c r="G1" s="18"/>
      <c r="H1" s="18"/>
      <c r="I1" s="18"/>
      <c r="J1" s="18"/>
      <c r="K1" s="18"/>
      <c r="L1" s="18"/>
      <c r="M1" s="18"/>
      <c r="N1" s="19"/>
    </row>
    <row r="2" spans="1:16" s="12" customFormat="1" ht="11.25">
      <c r="A2" s="20" t="s">
        <v>89</v>
      </c>
      <c r="B2" s="15"/>
      <c r="C2" s="15"/>
      <c r="D2" s="15"/>
      <c r="E2" s="15"/>
      <c r="F2" s="15"/>
      <c r="G2" s="328" t="s">
        <v>26</v>
      </c>
      <c r="H2" s="328"/>
      <c r="I2" s="328"/>
      <c r="J2" s="328"/>
      <c r="K2" s="328"/>
      <c r="L2" s="328"/>
      <c r="M2" s="328"/>
      <c r="N2" s="329"/>
      <c r="P2" s="43" t="s">
        <v>27</v>
      </c>
    </row>
    <row r="3" spans="1:14" ht="11.25">
      <c r="A3" s="45"/>
      <c r="B3" s="2"/>
      <c r="C3" s="2"/>
      <c r="D3" s="2"/>
      <c r="E3" s="2"/>
      <c r="F3" s="16" t="s">
        <v>14</v>
      </c>
      <c r="G3" s="330">
        <v>19</v>
      </c>
      <c r="H3" s="327"/>
      <c r="I3" s="2"/>
      <c r="J3" s="330">
        <v>18</v>
      </c>
      <c r="K3" s="327"/>
      <c r="L3" s="2"/>
      <c r="M3" s="330">
        <v>17</v>
      </c>
      <c r="N3" s="331"/>
    </row>
    <row r="4" spans="1:14" ht="11.25">
      <c r="A4" s="20"/>
      <c r="B4" s="2"/>
      <c r="C4" s="2"/>
      <c r="D4" s="2"/>
      <c r="E4" s="2"/>
      <c r="F4" s="16" t="s">
        <v>15</v>
      </c>
      <c r="G4" s="330" t="s">
        <v>80</v>
      </c>
      <c r="H4" s="327"/>
      <c r="I4" s="2"/>
      <c r="J4" s="330" t="s">
        <v>81</v>
      </c>
      <c r="K4" s="327"/>
      <c r="L4" s="2"/>
      <c r="M4" s="330" t="s">
        <v>82</v>
      </c>
      <c r="N4" s="331"/>
    </row>
    <row r="5" spans="1:14" ht="11.25">
      <c r="A5" s="20"/>
      <c r="B5" s="2"/>
      <c r="C5" s="2"/>
      <c r="D5" s="2"/>
      <c r="E5" s="2"/>
      <c r="F5" s="16" t="s">
        <v>16</v>
      </c>
      <c r="G5" s="321" t="s">
        <v>99</v>
      </c>
      <c r="H5" s="322"/>
      <c r="I5" s="2"/>
      <c r="J5" s="28"/>
      <c r="K5" s="28"/>
      <c r="L5" s="28"/>
      <c r="M5" s="28"/>
      <c r="N5" s="33"/>
    </row>
    <row r="6" spans="1:14" ht="11.25">
      <c r="A6" s="20"/>
      <c r="B6" s="2"/>
      <c r="C6" s="2"/>
      <c r="D6" s="2"/>
      <c r="E6" s="2"/>
      <c r="F6" s="16" t="s">
        <v>17</v>
      </c>
      <c r="G6" s="323" t="s">
        <v>100</v>
      </c>
      <c r="H6" s="323"/>
      <c r="I6" s="2"/>
      <c r="J6" s="28"/>
      <c r="K6" s="28"/>
      <c r="L6" s="28"/>
      <c r="M6" s="28"/>
      <c r="N6" s="33"/>
    </row>
    <row r="7" spans="1:14" ht="11.25">
      <c r="A7" s="20"/>
      <c r="B7" s="2"/>
      <c r="C7" s="2"/>
      <c r="D7" s="2"/>
      <c r="E7" s="2"/>
      <c r="F7" s="16" t="s">
        <v>33</v>
      </c>
      <c r="G7" s="324" t="s">
        <v>101</v>
      </c>
      <c r="H7" s="325"/>
      <c r="I7" s="2"/>
      <c r="J7" s="28"/>
      <c r="K7" s="28"/>
      <c r="L7" s="28"/>
      <c r="M7" s="28"/>
      <c r="N7" s="33"/>
    </row>
    <row r="8" spans="1:14" ht="11.25">
      <c r="A8" s="20"/>
      <c r="B8" s="2"/>
      <c r="C8" s="2"/>
      <c r="D8" s="2"/>
      <c r="E8" s="2"/>
      <c r="F8" s="16" t="s">
        <v>18</v>
      </c>
      <c r="G8" s="326">
        <v>43921</v>
      </c>
      <c r="H8" s="327"/>
      <c r="I8" s="2"/>
      <c r="J8" s="28"/>
      <c r="K8" s="28"/>
      <c r="L8" s="28"/>
      <c r="M8" s="28"/>
      <c r="N8" s="33"/>
    </row>
    <row r="9" spans="1:14" ht="12.75">
      <c r="A9" s="21" t="s">
        <v>2</v>
      </c>
      <c r="B9" s="22"/>
      <c r="C9" s="4"/>
      <c r="D9" s="4"/>
      <c r="E9" s="3"/>
      <c r="F9" s="3"/>
      <c r="G9" s="319"/>
      <c r="H9" s="319"/>
      <c r="I9" s="3"/>
      <c r="J9" s="319"/>
      <c r="K9" s="319"/>
      <c r="L9" s="3"/>
      <c r="M9" s="319"/>
      <c r="N9" s="320"/>
    </row>
    <row r="10" spans="1:15" ht="12.75">
      <c r="A10" s="20"/>
      <c r="B10" s="22" t="s">
        <v>56</v>
      </c>
      <c r="C10" s="4"/>
      <c r="D10" s="4"/>
      <c r="E10" s="3"/>
      <c r="F10" s="29"/>
      <c r="G10" s="58"/>
      <c r="H10" s="58"/>
      <c r="I10" s="5"/>
      <c r="J10" s="58"/>
      <c r="K10" s="58"/>
      <c r="L10" s="5"/>
      <c r="M10" s="58"/>
      <c r="N10" s="59"/>
      <c r="O10" s="11"/>
    </row>
    <row r="11" spans="1:16" ht="11.25">
      <c r="A11" s="20"/>
      <c r="B11" s="22"/>
      <c r="C11" s="6"/>
      <c r="D11" s="6"/>
      <c r="E11" s="7"/>
      <c r="F11" s="30" t="s">
        <v>7</v>
      </c>
      <c r="G11" s="313">
        <v>7805</v>
      </c>
      <c r="H11" s="314"/>
      <c r="I11" s="5"/>
      <c r="J11" s="313">
        <v>6985</v>
      </c>
      <c r="K11" s="314"/>
      <c r="L11" s="5"/>
      <c r="M11" s="313">
        <v>6075</v>
      </c>
      <c r="N11" s="315"/>
      <c r="P11" s="10" t="s">
        <v>28</v>
      </c>
    </row>
    <row r="12" spans="1:16" ht="12.75">
      <c r="A12" s="20"/>
      <c r="B12" s="22"/>
      <c r="C12" s="4"/>
      <c r="D12" s="4"/>
      <c r="E12" s="3"/>
      <c r="F12" s="29" t="s">
        <v>5</v>
      </c>
      <c r="G12" s="316">
        <v>0.133</v>
      </c>
      <c r="H12" s="317"/>
      <c r="I12" s="5"/>
      <c r="J12" s="316">
        <v>0.019</v>
      </c>
      <c r="K12" s="317"/>
      <c r="L12" s="5"/>
      <c r="M12" s="316">
        <v>-0.017</v>
      </c>
      <c r="N12" s="318"/>
      <c r="O12" s="11"/>
      <c r="P12" s="10" t="s">
        <v>29</v>
      </c>
    </row>
    <row r="13" spans="1:16" ht="12.75">
      <c r="A13" s="20"/>
      <c r="B13" s="22"/>
      <c r="C13" s="4"/>
      <c r="D13" s="4"/>
      <c r="E13" s="3"/>
      <c r="F13" s="29" t="s">
        <v>53</v>
      </c>
      <c r="G13" s="313">
        <v>3</v>
      </c>
      <c r="H13" s="314"/>
      <c r="I13" s="5"/>
      <c r="J13" s="313">
        <v>3</v>
      </c>
      <c r="K13" s="314"/>
      <c r="L13" s="5"/>
      <c r="M13" s="313">
        <v>3</v>
      </c>
      <c r="N13" s="315"/>
      <c r="O13" s="11"/>
      <c r="P13" s="10" t="s">
        <v>71</v>
      </c>
    </row>
    <row r="14" spans="1:16" ht="12.75">
      <c r="A14" s="20"/>
      <c r="B14" s="22"/>
      <c r="C14" s="4"/>
      <c r="D14" s="4"/>
      <c r="E14" s="3"/>
      <c r="F14" s="29" t="s">
        <v>54</v>
      </c>
      <c r="G14" s="313">
        <v>27</v>
      </c>
      <c r="H14" s="314"/>
      <c r="I14" s="5"/>
      <c r="J14" s="313">
        <v>27</v>
      </c>
      <c r="K14" s="314"/>
      <c r="L14" s="5"/>
      <c r="M14" s="313">
        <v>26</v>
      </c>
      <c r="N14" s="315"/>
      <c r="O14" s="11"/>
      <c r="P14" s="10" t="s">
        <v>70</v>
      </c>
    </row>
    <row r="15" spans="1:16" ht="12.75">
      <c r="A15" s="20"/>
      <c r="B15" s="22"/>
      <c r="C15" s="4"/>
      <c r="D15" s="4"/>
      <c r="E15" s="3"/>
      <c r="F15" s="29" t="s">
        <v>55</v>
      </c>
      <c r="G15" s="313">
        <v>33</v>
      </c>
      <c r="H15" s="314"/>
      <c r="I15" s="5"/>
      <c r="J15" s="313">
        <v>31</v>
      </c>
      <c r="K15" s="314"/>
      <c r="L15" s="5"/>
      <c r="M15" s="313">
        <v>35</v>
      </c>
      <c r="N15" s="315"/>
      <c r="O15" s="11"/>
      <c r="P15" s="10" t="s">
        <v>69</v>
      </c>
    </row>
    <row r="16" spans="1:16" ht="12.75">
      <c r="A16" s="20"/>
      <c r="B16" s="22"/>
      <c r="C16" s="4"/>
      <c r="D16" s="4"/>
      <c r="E16" s="3"/>
      <c r="F16" s="29" t="s">
        <v>78</v>
      </c>
      <c r="G16" s="313">
        <v>18</v>
      </c>
      <c r="H16" s="314"/>
      <c r="I16" s="5"/>
      <c r="J16" s="313">
        <v>27</v>
      </c>
      <c r="K16" s="314"/>
      <c r="L16" s="5"/>
      <c r="M16" s="313">
        <v>16</v>
      </c>
      <c r="N16" s="315"/>
      <c r="O16" s="11"/>
      <c r="P16" s="10" t="s">
        <v>86</v>
      </c>
    </row>
    <row r="17" spans="1:15" ht="12.75">
      <c r="A17" s="20"/>
      <c r="B17" s="22" t="s">
        <v>57</v>
      </c>
      <c r="C17" s="4"/>
      <c r="D17" s="4"/>
      <c r="E17" s="3"/>
      <c r="F17" s="29"/>
      <c r="G17" s="58"/>
      <c r="H17" s="58"/>
      <c r="I17" s="5"/>
      <c r="J17" s="58"/>
      <c r="K17" s="58"/>
      <c r="L17" s="5"/>
      <c r="M17" s="58"/>
      <c r="N17" s="59"/>
      <c r="O17" s="11"/>
    </row>
    <row r="18" spans="1:16" ht="11.25">
      <c r="A18" s="20"/>
      <c r="B18" s="22"/>
      <c r="C18" s="6"/>
      <c r="D18" s="6"/>
      <c r="E18" s="7"/>
      <c r="F18" s="30" t="s">
        <v>7</v>
      </c>
      <c r="G18" s="313"/>
      <c r="H18" s="314"/>
      <c r="I18" s="5"/>
      <c r="J18" s="313"/>
      <c r="K18" s="314"/>
      <c r="L18" s="5"/>
      <c r="M18" s="313"/>
      <c r="N18" s="315"/>
      <c r="P18" s="10" t="s">
        <v>28</v>
      </c>
    </row>
    <row r="19" spans="1:16" ht="12.75">
      <c r="A19" s="20"/>
      <c r="B19" s="22"/>
      <c r="C19" s="4"/>
      <c r="D19" s="4"/>
      <c r="E19" s="3"/>
      <c r="F19" s="29" t="s">
        <v>5</v>
      </c>
      <c r="G19" s="316"/>
      <c r="H19" s="317"/>
      <c r="I19" s="5"/>
      <c r="J19" s="316"/>
      <c r="K19" s="317"/>
      <c r="L19" s="5"/>
      <c r="M19" s="316"/>
      <c r="N19" s="318"/>
      <c r="O19" s="11"/>
      <c r="P19" s="10" t="s">
        <v>29</v>
      </c>
    </row>
    <row r="20" spans="1:16" ht="12.75">
      <c r="A20" s="20"/>
      <c r="B20" s="22"/>
      <c r="C20" s="4"/>
      <c r="D20" s="4"/>
      <c r="E20" s="3"/>
      <c r="F20" s="29" t="s">
        <v>58</v>
      </c>
      <c r="G20" s="313"/>
      <c r="H20" s="314"/>
      <c r="I20" s="5"/>
      <c r="J20" s="313"/>
      <c r="K20" s="314"/>
      <c r="L20" s="5"/>
      <c r="M20" s="313"/>
      <c r="N20" s="315"/>
      <c r="O20" s="11"/>
      <c r="P20" s="10" t="s">
        <v>71</v>
      </c>
    </row>
    <row r="21" spans="1:16" ht="12.75">
      <c r="A21" s="20"/>
      <c r="B21" s="22"/>
      <c r="C21" s="4"/>
      <c r="D21" s="4"/>
      <c r="E21" s="3"/>
      <c r="F21" s="29" t="s">
        <v>59</v>
      </c>
      <c r="G21" s="313"/>
      <c r="H21" s="314"/>
      <c r="I21" s="5"/>
      <c r="J21" s="313"/>
      <c r="K21" s="314"/>
      <c r="L21" s="5"/>
      <c r="M21" s="313"/>
      <c r="N21" s="315"/>
      <c r="O21" s="11"/>
      <c r="P21" s="10" t="s">
        <v>83</v>
      </c>
    </row>
    <row r="22" spans="1:16" ht="12.75">
      <c r="A22" s="20"/>
      <c r="B22" s="22"/>
      <c r="C22" s="4"/>
      <c r="D22" s="4"/>
      <c r="E22" s="3"/>
      <c r="F22" s="29" t="s">
        <v>78</v>
      </c>
      <c r="G22" s="313"/>
      <c r="H22" s="314"/>
      <c r="I22" s="5"/>
      <c r="J22" s="313"/>
      <c r="K22" s="314"/>
      <c r="L22" s="5"/>
      <c r="M22" s="313"/>
      <c r="N22" s="315"/>
      <c r="O22" s="11"/>
      <c r="P22" s="10" t="s">
        <v>86</v>
      </c>
    </row>
    <row r="23" spans="1:14" ht="11.25">
      <c r="A23" s="20"/>
      <c r="B23" s="4" t="s">
        <v>6</v>
      </c>
      <c r="C23" s="4"/>
      <c r="D23" s="4"/>
      <c r="E23" s="3"/>
      <c r="F23" s="3"/>
      <c r="G23" s="23"/>
      <c r="H23" s="23"/>
      <c r="I23" s="5"/>
      <c r="J23" s="23"/>
      <c r="K23" s="23"/>
      <c r="L23" s="5"/>
      <c r="M23" s="23"/>
      <c r="N23" s="24"/>
    </row>
    <row r="24" spans="1:16" ht="11.25">
      <c r="A24" s="20"/>
      <c r="B24" s="22"/>
      <c r="C24" s="4"/>
      <c r="D24" s="4"/>
      <c r="E24" s="3"/>
      <c r="F24" s="29" t="s">
        <v>20</v>
      </c>
      <c r="G24" s="293">
        <v>0.236</v>
      </c>
      <c r="H24" s="294"/>
      <c r="I24" s="3"/>
      <c r="J24" s="293">
        <v>0.262</v>
      </c>
      <c r="K24" s="294"/>
      <c r="L24" s="3"/>
      <c r="M24" s="293">
        <v>0.272</v>
      </c>
      <c r="N24" s="295"/>
      <c r="P24" s="10" t="s">
        <v>30</v>
      </c>
    </row>
    <row r="25" spans="1:16" ht="11.25">
      <c r="A25" s="20"/>
      <c r="B25" s="22"/>
      <c r="C25" s="4"/>
      <c r="D25" s="4"/>
      <c r="E25" s="3"/>
      <c r="F25" s="29" t="s">
        <v>21</v>
      </c>
      <c r="G25" s="293">
        <v>0.764</v>
      </c>
      <c r="H25" s="294"/>
      <c r="I25" s="3"/>
      <c r="J25" s="293">
        <v>0.738</v>
      </c>
      <c r="K25" s="294"/>
      <c r="L25" s="3"/>
      <c r="M25" s="293">
        <v>0.728</v>
      </c>
      <c r="N25" s="295"/>
      <c r="P25" s="10" t="s">
        <v>31</v>
      </c>
    </row>
    <row r="26" spans="1:14" ht="11.25">
      <c r="A26" s="62" t="s">
        <v>60</v>
      </c>
      <c r="B26" s="22"/>
      <c r="C26" s="4"/>
      <c r="D26" s="4"/>
      <c r="E26" s="3"/>
      <c r="F26" s="29"/>
      <c r="G26" s="60"/>
      <c r="H26" s="60"/>
      <c r="I26" s="5"/>
      <c r="J26" s="60"/>
      <c r="K26" s="60"/>
      <c r="L26" s="5"/>
      <c r="M26" s="60"/>
      <c r="N26" s="61"/>
    </row>
    <row r="27" spans="1:16" ht="11.25">
      <c r="A27" s="20"/>
      <c r="B27" s="22"/>
      <c r="C27" s="4"/>
      <c r="D27" s="4"/>
      <c r="E27" s="3"/>
      <c r="F27" s="29" t="s">
        <v>61</v>
      </c>
      <c r="G27" s="313">
        <f>877961</f>
        <v>877961</v>
      </c>
      <c r="H27" s="314"/>
      <c r="I27" s="5"/>
      <c r="J27" s="313">
        <v>702287</v>
      </c>
      <c r="K27" s="314"/>
      <c r="L27" s="5"/>
      <c r="M27" s="313">
        <v>633166</v>
      </c>
      <c r="N27" s="315"/>
      <c r="P27" s="10" t="s">
        <v>91</v>
      </c>
    </row>
    <row r="28" spans="1:16" ht="11.25">
      <c r="A28" s="20"/>
      <c r="B28" s="22"/>
      <c r="C28" s="4"/>
      <c r="D28" s="4"/>
      <c r="E28" s="3"/>
      <c r="F28" s="29" t="s">
        <v>62</v>
      </c>
      <c r="G28" s="313">
        <v>43332</v>
      </c>
      <c r="H28" s="314"/>
      <c r="I28" s="5"/>
      <c r="J28" s="313">
        <v>42160</v>
      </c>
      <c r="K28" s="314"/>
      <c r="L28" s="5"/>
      <c r="M28" s="313">
        <v>41232</v>
      </c>
      <c r="N28" s="315"/>
      <c r="P28" s="10" t="s">
        <v>91</v>
      </c>
    </row>
    <row r="29" spans="1:16" ht="11.25">
      <c r="A29" s="20"/>
      <c r="B29" s="22"/>
      <c r="C29" s="4"/>
      <c r="D29" s="4"/>
      <c r="E29" s="3"/>
      <c r="F29" s="29" t="s">
        <v>63</v>
      </c>
      <c r="G29" s="310">
        <v>291927.94</v>
      </c>
      <c r="H29" s="311"/>
      <c r="I29" s="5"/>
      <c r="J29" s="310">
        <v>310304.82</v>
      </c>
      <c r="K29" s="311"/>
      <c r="L29" s="5"/>
      <c r="M29" s="310">
        <v>286352.19</v>
      </c>
      <c r="N29" s="312"/>
      <c r="P29" s="10" t="s">
        <v>90</v>
      </c>
    </row>
    <row r="30" spans="1:14" ht="11.25">
      <c r="A30" s="20"/>
      <c r="B30" s="22"/>
      <c r="C30" s="4"/>
      <c r="D30" s="4"/>
      <c r="E30" s="3"/>
      <c r="F30" s="29"/>
      <c r="G30" s="73"/>
      <c r="H30" s="74"/>
      <c r="I30" s="5"/>
      <c r="J30" s="73"/>
      <c r="K30" s="74"/>
      <c r="L30" s="5"/>
      <c r="M30" s="73"/>
      <c r="N30" s="75"/>
    </row>
    <row r="31" spans="1:18" ht="11.25">
      <c r="A31" s="20"/>
      <c r="B31" s="4"/>
      <c r="C31" s="4"/>
      <c r="D31" s="4"/>
      <c r="E31" s="3"/>
      <c r="F31" s="63" t="s">
        <v>64</v>
      </c>
      <c r="G31" s="299">
        <f>(SUM(G27:G29))/(G11+G18)</f>
        <v>155.44150416399742</v>
      </c>
      <c r="H31" s="300"/>
      <c r="I31" s="22"/>
      <c r="J31" s="299">
        <f>SUM(J27:K29)/(J11+J18)</f>
        <v>151.00240801717968</v>
      </c>
      <c r="K31" s="300"/>
      <c r="L31" s="22"/>
      <c r="M31" s="299">
        <f>SUM(M27:N29)/(M11+M18)</f>
        <v>158.1481794238683</v>
      </c>
      <c r="N31" s="301"/>
      <c r="O31"/>
      <c r="P31" t="s">
        <v>32</v>
      </c>
      <c r="Q31"/>
      <c r="R31"/>
    </row>
    <row r="32" spans="1:14" ht="11.25">
      <c r="A32" s="21" t="s">
        <v>3</v>
      </c>
      <c r="B32" s="22"/>
      <c r="C32" s="4"/>
      <c r="D32" s="4"/>
      <c r="E32" s="3"/>
      <c r="F32" s="3"/>
      <c r="G32" s="8"/>
      <c r="H32" s="8"/>
      <c r="I32" s="3"/>
      <c r="J32" s="8"/>
      <c r="K32" s="8"/>
      <c r="L32" s="3"/>
      <c r="M32" s="8"/>
      <c r="N32" s="25"/>
    </row>
    <row r="33" spans="1:22" ht="11.25">
      <c r="A33" s="20"/>
      <c r="B33" s="22"/>
      <c r="C33" s="4"/>
      <c r="D33" s="48"/>
      <c r="E33" s="49"/>
      <c r="F33" s="50" t="s">
        <v>43</v>
      </c>
      <c r="G33" s="302">
        <v>6.1</v>
      </c>
      <c r="H33" s="303"/>
      <c r="I33" s="56"/>
      <c r="J33" s="302">
        <v>4.4</v>
      </c>
      <c r="K33" s="303"/>
      <c r="L33" s="56"/>
      <c r="M33" s="302">
        <v>5.6</v>
      </c>
      <c r="N33" s="304"/>
      <c r="O33"/>
      <c r="P33" s="46" t="s">
        <v>47</v>
      </c>
      <c r="Q33" s="47"/>
      <c r="R33" s="47"/>
      <c r="S33" s="46"/>
      <c r="T33" s="46"/>
      <c r="U33" s="46"/>
      <c r="V33" s="46"/>
    </row>
    <row r="34" spans="1:22" ht="11.25">
      <c r="A34" s="20"/>
      <c r="B34" s="22"/>
      <c r="C34" s="4"/>
      <c r="D34" s="48"/>
      <c r="E34" s="49"/>
      <c r="F34" s="50" t="s">
        <v>44</v>
      </c>
      <c r="G34" s="302">
        <v>3</v>
      </c>
      <c r="H34" s="303"/>
      <c r="I34" s="56"/>
      <c r="J34" s="302">
        <v>1.7</v>
      </c>
      <c r="K34" s="303"/>
      <c r="L34" s="56"/>
      <c r="M34" s="302">
        <v>3</v>
      </c>
      <c r="N34" s="304"/>
      <c r="O34"/>
      <c r="P34" s="46" t="s">
        <v>48</v>
      </c>
      <c r="Q34" s="47"/>
      <c r="R34" s="47"/>
      <c r="S34" s="46"/>
      <c r="T34" s="46"/>
      <c r="U34" s="46"/>
      <c r="V34" s="46"/>
    </row>
    <row r="35" spans="1:22" ht="11.25">
      <c r="A35" s="20"/>
      <c r="B35" s="22"/>
      <c r="C35" s="4"/>
      <c r="D35" s="48"/>
      <c r="E35" s="49"/>
      <c r="F35" s="50" t="s">
        <v>45</v>
      </c>
      <c r="G35" s="307">
        <v>3.8</v>
      </c>
      <c r="H35" s="308"/>
      <c r="I35" s="56"/>
      <c r="J35" s="307">
        <v>4.4</v>
      </c>
      <c r="K35" s="308"/>
      <c r="L35" s="56"/>
      <c r="M35" s="307">
        <v>2.3</v>
      </c>
      <c r="N35" s="309"/>
      <c r="O35"/>
      <c r="P35" s="46" t="s">
        <v>50</v>
      </c>
      <c r="Q35" s="47"/>
      <c r="R35" s="47"/>
      <c r="S35" s="46"/>
      <c r="T35" s="46"/>
      <c r="U35" s="46"/>
      <c r="V35" s="46"/>
    </row>
    <row r="36" spans="1:22" ht="11.25">
      <c r="A36" s="20"/>
      <c r="B36" s="22"/>
      <c r="C36" s="4"/>
      <c r="D36" s="48"/>
      <c r="E36" s="49"/>
      <c r="F36" s="50" t="s">
        <v>46</v>
      </c>
      <c r="G36" s="305">
        <v>0</v>
      </c>
      <c r="H36" s="305"/>
      <c r="I36" s="56"/>
      <c r="J36" s="305">
        <v>0</v>
      </c>
      <c r="K36" s="305"/>
      <c r="L36" s="56"/>
      <c r="M36" s="305">
        <v>0</v>
      </c>
      <c r="N36" s="306"/>
      <c r="O36"/>
      <c r="P36" s="46" t="s">
        <v>49</v>
      </c>
      <c r="Q36" s="47"/>
      <c r="R36" s="47"/>
      <c r="S36" s="46"/>
      <c r="T36" s="46"/>
      <c r="U36" s="46"/>
      <c r="V36" s="46"/>
    </row>
    <row r="37" spans="1:18" s="69" customFormat="1" ht="11.25">
      <c r="A37" s="64"/>
      <c r="B37" s="65"/>
      <c r="C37" s="66"/>
      <c r="D37" s="66"/>
      <c r="E37" s="5"/>
      <c r="F37" s="67"/>
      <c r="G37" s="70"/>
      <c r="H37" s="70"/>
      <c r="I37" s="68"/>
      <c r="J37" s="70"/>
      <c r="K37" s="70"/>
      <c r="L37" s="68"/>
      <c r="M37" s="70"/>
      <c r="N37" s="71"/>
      <c r="O37" s="12"/>
      <c r="Q37" s="12"/>
      <c r="R37" s="12"/>
    </row>
    <row r="38" spans="1:22" ht="11.25">
      <c r="A38" s="20"/>
      <c r="B38" s="22"/>
      <c r="C38" s="4"/>
      <c r="D38" s="48"/>
      <c r="E38" s="49"/>
      <c r="F38" s="50" t="s">
        <v>66</v>
      </c>
      <c r="G38" s="305">
        <v>2967</v>
      </c>
      <c r="H38" s="305"/>
      <c r="I38" s="56"/>
      <c r="J38" s="305">
        <v>6388</v>
      </c>
      <c r="K38" s="305"/>
      <c r="L38" s="56"/>
      <c r="M38" s="305">
        <v>6707</v>
      </c>
      <c r="N38" s="306"/>
      <c r="O38"/>
      <c r="P38" s="46" t="s">
        <v>72</v>
      </c>
      <c r="Q38" s="47"/>
      <c r="R38" s="47"/>
      <c r="S38" s="46"/>
      <c r="T38" s="46"/>
      <c r="U38" s="46"/>
      <c r="V38" s="46"/>
    </row>
    <row r="39" spans="1:22" ht="11.25">
      <c r="A39" s="20"/>
      <c r="B39" s="22"/>
      <c r="C39" s="4"/>
      <c r="D39" s="48"/>
      <c r="E39" s="49"/>
      <c r="F39" s="50" t="s">
        <v>65</v>
      </c>
      <c r="G39" s="299">
        <v>2672</v>
      </c>
      <c r="H39" s="300"/>
      <c r="I39" s="56"/>
      <c r="J39" s="299">
        <v>4503</v>
      </c>
      <c r="K39" s="300"/>
      <c r="L39" s="56"/>
      <c r="M39" s="299">
        <v>4560</v>
      </c>
      <c r="N39" s="301"/>
      <c r="O39"/>
      <c r="P39" s="46" t="s">
        <v>73</v>
      </c>
      <c r="Q39" s="47"/>
      <c r="R39" s="47"/>
      <c r="S39" s="46"/>
      <c r="T39" s="46"/>
      <c r="U39" s="46"/>
      <c r="V39" s="46"/>
    </row>
    <row r="40" spans="1:22" ht="11.25">
      <c r="A40" s="20"/>
      <c r="B40" s="22"/>
      <c r="C40" s="4"/>
      <c r="D40" s="48"/>
      <c r="E40" s="49"/>
      <c r="F40" s="50" t="s">
        <v>67</v>
      </c>
      <c r="G40" s="302">
        <v>2606</v>
      </c>
      <c r="H40" s="303"/>
      <c r="I40" s="56"/>
      <c r="J40" s="302">
        <v>1484</v>
      </c>
      <c r="K40" s="303"/>
      <c r="L40" s="56"/>
      <c r="M40" s="302">
        <v>415</v>
      </c>
      <c r="N40" s="304"/>
      <c r="O40"/>
      <c r="P40" s="46" t="s">
        <v>75</v>
      </c>
      <c r="Q40" s="47"/>
      <c r="R40" s="47"/>
      <c r="S40" s="46"/>
      <c r="T40" s="46"/>
      <c r="U40" s="46"/>
      <c r="V40" s="46"/>
    </row>
    <row r="41" spans="1:22" ht="11.25">
      <c r="A41" s="20"/>
      <c r="B41" s="22"/>
      <c r="C41" s="4"/>
      <c r="D41" s="48"/>
      <c r="E41" s="49"/>
      <c r="F41" s="50" t="s">
        <v>68</v>
      </c>
      <c r="G41" s="302">
        <v>0</v>
      </c>
      <c r="H41" s="303"/>
      <c r="I41" s="56"/>
      <c r="J41" s="302">
        <v>1510</v>
      </c>
      <c r="K41" s="303"/>
      <c r="L41" s="56"/>
      <c r="M41" s="302">
        <v>2322</v>
      </c>
      <c r="N41" s="304"/>
      <c r="O41"/>
      <c r="P41" s="46" t="s">
        <v>74</v>
      </c>
      <c r="Q41" s="47"/>
      <c r="R41" s="47"/>
      <c r="S41" s="46"/>
      <c r="T41" s="46"/>
      <c r="U41" s="46"/>
      <c r="V41" s="46"/>
    </row>
    <row r="42" spans="1:18" ht="11.25">
      <c r="A42" s="20"/>
      <c r="B42" s="4"/>
      <c r="C42" s="4"/>
      <c r="D42" s="4"/>
      <c r="E42" s="3"/>
      <c r="F42" s="3"/>
      <c r="G42" s="9"/>
      <c r="H42" s="9"/>
      <c r="I42" s="22"/>
      <c r="J42" s="9"/>
      <c r="K42" s="9"/>
      <c r="L42" s="22"/>
      <c r="M42" s="9"/>
      <c r="N42" s="26"/>
      <c r="O42"/>
      <c r="P42"/>
      <c r="Q42"/>
      <c r="R42"/>
    </row>
    <row r="43" spans="1:18" ht="11.25">
      <c r="A43" s="20"/>
      <c r="B43" s="22"/>
      <c r="C43" s="4"/>
      <c r="D43" s="4"/>
      <c r="E43" s="3"/>
      <c r="F43" s="29" t="s">
        <v>22</v>
      </c>
      <c r="G43" s="302">
        <f>+(G11+G18)/(G33+G34)</f>
        <v>857.6923076923077</v>
      </c>
      <c r="H43" s="303"/>
      <c r="I43" s="22"/>
      <c r="J43" s="302">
        <f>+(J11+J18)/(J33+J34)</f>
        <v>1145.0819672131147</v>
      </c>
      <c r="K43" s="303"/>
      <c r="L43" s="22"/>
      <c r="M43" s="302">
        <f>+(M11+M18)/(M33+M34)</f>
        <v>706.3953488372093</v>
      </c>
      <c r="N43" s="303"/>
      <c r="O43"/>
      <c r="P43" t="s">
        <v>32</v>
      </c>
      <c r="Q43"/>
      <c r="R43"/>
    </row>
    <row r="44" spans="1:18" ht="11.25">
      <c r="A44" s="20"/>
      <c r="B44" s="22"/>
      <c r="C44" s="4"/>
      <c r="D44" s="4"/>
      <c r="E44" s="3"/>
      <c r="F44" s="29" t="s">
        <v>216</v>
      </c>
      <c r="G44" s="332">
        <f>(G11+G18)/SUM(G33:H36)</f>
        <v>605.0387596899226</v>
      </c>
      <c r="H44" s="332"/>
      <c r="I44" s="22"/>
      <c r="J44" s="332">
        <f>(J11+J18)/SUM(J33:K36)</f>
        <v>665.2380952380952</v>
      </c>
      <c r="K44" s="332"/>
      <c r="L44" s="22"/>
      <c r="M44" s="332">
        <f>(M11+M18)/SUM(M33:N36)</f>
        <v>557.3394495412845</v>
      </c>
      <c r="N44" s="332"/>
      <c r="O44"/>
      <c r="P44"/>
      <c r="Q44"/>
      <c r="R44"/>
    </row>
    <row r="45" spans="1:17" ht="11.25">
      <c r="A45" s="20"/>
      <c r="B45" s="4"/>
      <c r="C45" s="4"/>
      <c r="D45" s="4"/>
      <c r="E45" s="3"/>
      <c r="F45" s="3"/>
      <c r="G45" s="34" t="s">
        <v>24</v>
      </c>
      <c r="H45" s="34" t="s">
        <v>23</v>
      </c>
      <c r="I45" s="28"/>
      <c r="J45" s="34" t="s">
        <v>24</v>
      </c>
      <c r="K45" s="34" t="s">
        <v>23</v>
      </c>
      <c r="L45" s="28"/>
      <c r="M45" s="34" t="s">
        <v>24</v>
      </c>
      <c r="N45" s="35" t="s">
        <v>23</v>
      </c>
      <c r="O45" s="14"/>
      <c r="P45" s="13"/>
      <c r="Q45" s="31"/>
    </row>
    <row r="46" spans="1:22" ht="11.25">
      <c r="A46" s="20"/>
      <c r="B46" s="4"/>
      <c r="C46" s="4"/>
      <c r="D46" s="52"/>
      <c r="E46" s="53"/>
      <c r="F46" s="54" t="s">
        <v>25</v>
      </c>
      <c r="G46" s="76">
        <v>7</v>
      </c>
      <c r="H46" s="32">
        <f>G46/(G46+G47+G48+G49)</f>
        <v>0.7777777777777778</v>
      </c>
      <c r="I46" s="28"/>
      <c r="J46" s="76">
        <v>7</v>
      </c>
      <c r="K46" s="32">
        <f>J46/(J46+J47+J48+J49)</f>
        <v>0.7092198581560284</v>
      </c>
      <c r="L46" s="28"/>
      <c r="M46" s="76">
        <v>7</v>
      </c>
      <c r="N46" s="36">
        <f>M46/(M46+M47+M48+M49)</f>
        <v>0.7092198581560284</v>
      </c>
      <c r="O46" s="14"/>
      <c r="P46" s="55" t="s">
        <v>84</v>
      </c>
      <c r="Q46" s="51"/>
      <c r="R46" s="55"/>
      <c r="S46" s="55"/>
      <c r="T46" s="55"/>
      <c r="U46" s="55"/>
      <c r="V46" s="55"/>
    </row>
    <row r="47" spans="1:22" ht="11.25">
      <c r="A47" s="20"/>
      <c r="B47" s="4"/>
      <c r="C47" s="4"/>
      <c r="D47" s="52"/>
      <c r="E47" s="53"/>
      <c r="F47" s="54" t="s">
        <v>13</v>
      </c>
      <c r="G47" s="76">
        <v>2</v>
      </c>
      <c r="H47" s="32">
        <f>G47/(G46+G47+G48+G49)</f>
        <v>0.2222222222222222</v>
      </c>
      <c r="I47" s="28"/>
      <c r="J47" s="76">
        <v>2</v>
      </c>
      <c r="K47" s="32">
        <f>J47/(J46+J47+J48+J49)</f>
        <v>0.2026342451874367</v>
      </c>
      <c r="L47" s="28"/>
      <c r="M47" s="76">
        <v>2</v>
      </c>
      <c r="N47" s="36">
        <f>M47/(M46+M47+M48+M49)</f>
        <v>0.2026342451874367</v>
      </c>
      <c r="O47" s="14"/>
      <c r="P47" s="55" t="s">
        <v>84</v>
      </c>
      <c r="Q47" s="51"/>
      <c r="R47" s="55"/>
      <c r="S47" s="55"/>
      <c r="T47" s="55"/>
      <c r="U47" s="55"/>
      <c r="V47" s="55"/>
    </row>
    <row r="48" spans="1:22" ht="11.25">
      <c r="A48" s="20"/>
      <c r="B48" s="4"/>
      <c r="C48" s="4"/>
      <c r="D48" s="52"/>
      <c r="E48" s="53"/>
      <c r="F48" s="54" t="s">
        <v>51</v>
      </c>
      <c r="G48" s="76">
        <v>0</v>
      </c>
      <c r="H48" s="32">
        <f>G48/(G46+G47+G48+G49)</f>
        <v>0</v>
      </c>
      <c r="I48" s="28"/>
      <c r="J48" s="76">
        <v>0.87</v>
      </c>
      <c r="K48" s="32">
        <f>J48/(J46+J47+J48+J49)</f>
        <v>0.08814589665653497</v>
      </c>
      <c r="L48" s="28"/>
      <c r="M48" s="76">
        <v>0.87</v>
      </c>
      <c r="N48" s="36">
        <f>M48/(M46+M47+M48+M49)</f>
        <v>0.08814589665653497</v>
      </c>
      <c r="O48" s="14"/>
      <c r="P48" s="55" t="s">
        <v>85</v>
      </c>
      <c r="Q48" s="51"/>
      <c r="R48" s="55"/>
      <c r="S48" s="55"/>
      <c r="T48" s="55"/>
      <c r="U48" s="55"/>
      <c r="V48" s="55"/>
    </row>
    <row r="49" spans="1:22" ht="11.25">
      <c r="A49" s="20"/>
      <c r="B49" s="4"/>
      <c r="C49" s="4"/>
      <c r="D49" s="52"/>
      <c r="E49" s="53"/>
      <c r="F49" s="54" t="s">
        <v>52</v>
      </c>
      <c r="G49" s="76">
        <v>0</v>
      </c>
      <c r="H49" s="32">
        <f>G49/(G46+G47+G48+G49)</f>
        <v>0</v>
      </c>
      <c r="I49" s="28"/>
      <c r="J49" s="76">
        <v>0</v>
      </c>
      <c r="K49" s="32">
        <f>J49/(J46+J47+J48+J49)</f>
        <v>0</v>
      </c>
      <c r="L49" s="28"/>
      <c r="M49" s="76">
        <v>0</v>
      </c>
      <c r="N49" s="36">
        <f>M49/(M46+M47+M48+M49)</f>
        <v>0</v>
      </c>
      <c r="O49" s="14"/>
      <c r="P49" s="55" t="s">
        <v>85</v>
      </c>
      <c r="Q49" s="51"/>
      <c r="R49" s="55"/>
      <c r="S49" s="55"/>
      <c r="T49" s="55"/>
      <c r="U49" s="55"/>
      <c r="V49" s="55"/>
    </row>
    <row r="50" spans="1:14" ht="11.25">
      <c r="A50" s="21" t="s">
        <v>4</v>
      </c>
      <c r="B50" s="22"/>
      <c r="C50" s="4"/>
      <c r="D50" s="4"/>
      <c r="E50" s="3"/>
      <c r="F50" s="3"/>
      <c r="G50" s="8"/>
      <c r="H50" s="8"/>
      <c r="I50" s="3"/>
      <c r="J50" s="8"/>
      <c r="K50" s="8"/>
      <c r="L50" s="3"/>
      <c r="M50" s="8"/>
      <c r="N50" s="25"/>
    </row>
    <row r="51" spans="1:16" ht="11.25">
      <c r="A51" s="21"/>
      <c r="B51" s="22"/>
      <c r="C51" s="4"/>
      <c r="D51" s="4"/>
      <c r="E51" s="3"/>
      <c r="F51" s="63" t="s">
        <v>77</v>
      </c>
      <c r="G51" s="293">
        <v>0.941</v>
      </c>
      <c r="H51" s="294"/>
      <c r="I51" s="72"/>
      <c r="J51" s="293">
        <v>0.944</v>
      </c>
      <c r="K51" s="294"/>
      <c r="L51" s="72"/>
      <c r="M51" s="293">
        <v>0.952</v>
      </c>
      <c r="N51" s="295"/>
      <c r="P51" s="10" t="s">
        <v>87</v>
      </c>
    </row>
    <row r="52" spans="1:16" ht="11.25">
      <c r="A52" s="21"/>
      <c r="B52" s="22"/>
      <c r="C52" s="4"/>
      <c r="D52" s="4"/>
      <c r="E52" s="3"/>
      <c r="F52" s="63" t="s">
        <v>76</v>
      </c>
      <c r="G52" s="293">
        <v>0.08</v>
      </c>
      <c r="H52" s="294"/>
      <c r="I52" s="72"/>
      <c r="J52" s="293">
        <v>0.063</v>
      </c>
      <c r="K52" s="294"/>
      <c r="L52" s="72"/>
      <c r="M52" s="293">
        <v>0.06</v>
      </c>
      <c r="N52" s="295"/>
      <c r="P52" s="10" t="s">
        <v>79</v>
      </c>
    </row>
    <row r="53" spans="1:16" ht="11" customHeight="1">
      <c r="A53" s="20"/>
      <c r="B53" s="23"/>
      <c r="C53" s="4"/>
      <c r="D53" s="4"/>
      <c r="E53" s="3"/>
      <c r="F53" s="29" t="s">
        <v>10</v>
      </c>
      <c r="G53" s="296">
        <v>17</v>
      </c>
      <c r="H53" s="297"/>
      <c r="I53" s="3"/>
      <c r="J53" s="296">
        <v>14</v>
      </c>
      <c r="K53" s="297"/>
      <c r="L53" s="3"/>
      <c r="M53" s="296">
        <v>11</v>
      </c>
      <c r="N53" s="298"/>
      <c r="P53" s="10" t="s">
        <v>34</v>
      </c>
    </row>
    <row r="54" spans="1:16" ht="11.25">
      <c r="A54" s="20"/>
      <c r="B54" s="23"/>
      <c r="C54" s="4"/>
      <c r="D54" s="4"/>
      <c r="E54" s="3"/>
      <c r="F54" s="29" t="s">
        <v>8</v>
      </c>
      <c r="G54" s="296">
        <v>16</v>
      </c>
      <c r="H54" s="297"/>
      <c r="I54" s="14"/>
      <c r="J54" s="296">
        <v>16</v>
      </c>
      <c r="K54" s="297"/>
      <c r="L54" s="14"/>
      <c r="M54" s="296">
        <v>15</v>
      </c>
      <c r="N54" s="298"/>
      <c r="P54" s="10" t="s">
        <v>36</v>
      </c>
    </row>
    <row r="55" spans="1:16" ht="11.25">
      <c r="A55" s="20"/>
      <c r="B55" s="23"/>
      <c r="C55" s="4"/>
      <c r="D55" s="4"/>
      <c r="E55" s="3"/>
      <c r="F55" s="42" t="s">
        <v>11</v>
      </c>
      <c r="G55" s="296">
        <v>15.7</v>
      </c>
      <c r="H55" s="297"/>
      <c r="I55" s="3"/>
      <c r="J55" s="296">
        <v>15.2</v>
      </c>
      <c r="K55" s="297"/>
      <c r="L55" s="3"/>
      <c r="M55" s="296">
        <v>14.6</v>
      </c>
      <c r="N55" s="298"/>
      <c r="P55" s="10" t="s">
        <v>42</v>
      </c>
    </row>
    <row r="56" spans="1:19" ht="11.25">
      <c r="A56" s="20"/>
      <c r="B56" s="22"/>
      <c r="C56" s="4"/>
      <c r="D56" s="4"/>
      <c r="E56" s="3"/>
      <c r="F56" s="29" t="s">
        <v>9</v>
      </c>
      <c r="G56" s="293">
        <v>0.94</v>
      </c>
      <c r="H56" s="294"/>
      <c r="I56" s="3"/>
      <c r="J56" s="293">
        <v>0.94</v>
      </c>
      <c r="K56" s="294"/>
      <c r="L56" s="3"/>
      <c r="M56" s="293">
        <v>0.94</v>
      </c>
      <c r="N56" s="295"/>
      <c r="P56" s="10" t="s">
        <v>37</v>
      </c>
      <c r="Q56"/>
      <c r="R56"/>
      <c r="S56"/>
    </row>
    <row r="57" spans="1:19" ht="11.25">
      <c r="A57" s="20"/>
      <c r="B57" s="22"/>
      <c r="C57" s="4"/>
      <c r="D57" s="4"/>
      <c r="E57" s="27"/>
      <c r="F57" s="29" t="s">
        <v>12</v>
      </c>
      <c r="G57" s="296">
        <v>2</v>
      </c>
      <c r="H57" s="297"/>
      <c r="I57" s="28"/>
      <c r="J57" s="296">
        <v>1</v>
      </c>
      <c r="K57" s="297"/>
      <c r="L57" s="28"/>
      <c r="M57" s="296">
        <v>0</v>
      </c>
      <c r="N57" s="298"/>
      <c r="P57" s="10" t="s">
        <v>38</v>
      </c>
      <c r="Q57"/>
      <c r="R57"/>
      <c r="S57"/>
    </row>
    <row r="58" spans="1:19" ht="11.25">
      <c r="A58" s="20"/>
      <c r="B58" s="22"/>
      <c r="C58" s="4"/>
      <c r="D58" s="4"/>
      <c r="E58" s="3"/>
      <c r="F58" s="29" t="s">
        <v>19</v>
      </c>
      <c r="G58" s="293">
        <v>0.18</v>
      </c>
      <c r="H58" s="294"/>
      <c r="I58" s="28"/>
      <c r="J58" s="293">
        <v>0.141</v>
      </c>
      <c r="K58" s="294"/>
      <c r="L58" s="28"/>
      <c r="M58" s="293">
        <v>0.2</v>
      </c>
      <c r="N58" s="295"/>
      <c r="P58" s="10" t="s">
        <v>39</v>
      </c>
      <c r="Q58"/>
      <c r="R58"/>
      <c r="S58"/>
    </row>
    <row r="59" spans="1:19" ht="11.25">
      <c r="A59" s="20"/>
      <c r="B59" s="22"/>
      <c r="C59" s="4"/>
      <c r="D59" s="4"/>
      <c r="E59" s="3"/>
      <c r="F59" s="29" t="s">
        <v>0</v>
      </c>
      <c r="G59" s="293">
        <v>0.076</v>
      </c>
      <c r="H59" s="294"/>
      <c r="I59" s="28"/>
      <c r="J59" s="293">
        <v>-0.024</v>
      </c>
      <c r="K59" s="294"/>
      <c r="L59" s="28"/>
      <c r="M59" s="293">
        <v>-0.06</v>
      </c>
      <c r="N59" s="295"/>
      <c r="P59" s="10" t="s">
        <v>40</v>
      </c>
      <c r="Q59"/>
      <c r="R59"/>
      <c r="S59"/>
    </row>
    <row r="60" spans="1:14" ht="11.25">
      <c r="A60" s="21" t="s">
        <v>1</v>
      </c>
      <c r="B60" s="28"/>
      <c r="C60" s="28"/>
      <c r="D60" s="28"/>
      <c r="E60" s="28"/>
      <c r="F60" s="28"/>
      <c r="G60" s="28"/>
      <c r="H60" s="28"/>
      <c r="I60" s="28"/>
      <c r="J60" s="28"/>
      <c r="K60" s="28"/>
      <c r="L60" s="28"/>
      <c r="M60" s="28"/>
      <c r="N60" s="33"/>
    </row>
    <row r="61" spans="1:16" ht="11.25">
      <c r="A61" s="37"/>
      <c r="B61" s="28"/>
      <c r="C61" s="28"/>
      <c r="D61" s="28"/>
      <c r="E61" s="28"/>
      <c r="F61" s="28"/>
      <c r="G61" s="28"/>
      <c r="H61" s="28"/>
      <c r="I61" s="28"/>
      <c r="J61" s="28"/>
      <c r="K61" s="28"/>
      <c r="L61" s="28"/>
      <c r="M61" s="28"/>
      <c r="N61" s="33"/>
      <c r="P61" t="s">
        <v>35</v>
      </c>
    </row>
    <row r="62" spans="1:14" ht="11.25">
      <c r="A62" s="38"/>
      <c r="B62" s="23"/>
      <c r="C62" s="23"/>
      <c r="D62" s="23"/>
      <c r="E62" s="23"/>
      <c r="F62" s="23"/>
      <c r="G62" s="23"/>
      <c r="H62" s="23"/>
      <c r="I62" s="23"/>
      <c r="J62" s="23"/>
      <c r="K62" s="23"/>
      <c r="L62" s="23"/>
      <c r="M62" s="23"/>
      <c r="N62" s="24"/>
    </row>
    <row r="63" spans="1:14" ht="11.25">
      <c r="A63" s="38"/>
      <c r="B63" s="23"/>
      <c r="C63" s="23"/>
      <c r="D63" s="23"/>
      <c r="E63" s="23"/>
      <c r="F63" s="23"/>
      <c r="G63" s="23"/>
      <c r="H63" s="23"/>
      <c r="I63" s="23"/>
      <c r="J63" s="23"/>
      <c r="K63" s="23"/>
      <c r="L63" s="23"/>
      <c r="M63" s="23"/>
      <c r="N63" s="24"/>
    </row>
    <row r="64" spans="1:16" ht="11.25">
      <c r="A64" s="38"/>
      <c r="B64" s="23"/>
      <c r="C64" s="23"/>
      <c r="D64" s="23"/>
      <c r="E64" s="23"/>
      <c r="F64" s="23"/>
      <c r="G64" s="23"/>
      <c r="H64" s="23"/>
      <c r="I64" s="23"/>
      <c r="J64" s="23"/>
      <c r="K64" s="23"/>
      <c r="L64" s="23"/>
      <c r="M64" s="23"/>
      <c r="N64" s="24"/>
      <c r="P64" s="44" t="s">
        <v>41</v>
      </c>
    </row>
    <row r="65" spans="1:14" ht="11.25">
      <c r="A65" s="38"/>
      <c r="B65" s="23"/>
      <c r="C65" s="23"/>
      <c r="D65" s="23"/>
      <c r="E65" s="23"/>
      <c r="F65" s="23"/>
      <c r="G65" s="23"/>
      <c r="H65" s="23"/>
      <c r="I65" s="23"/>
      <c r="J65" s="23"/>
      <c r="K65" s="23"/>
      <c r="L65" s="23"/>
      <c r="M65" s="23"/>
      <c r="N65" s="24"/>
    </row>
    <row r="66" spans="1:14" ht="12.75" thickBot="1">
      <c r="A66" s="39"/>
      <c r="B66" s="40"/>
      <c r="C66" s="40"/>
      <c r="D66" s="40"/>
      <c r="E66" s="40"/>
      <c r="F66" s="40"/>
      <c r="G66" s="40"/>
      <c r="H66" s="40"/>
      <c r="I66" s="40"/>
      <c r="J66" s="40"/>
      <c r="K66" s="40"/>
      <c r="L66" s="40"/>
      <c r="M66" s="40"/>
      <c r="N66" s="41"/>
    </row>
  </sheetData>
  <mergeCells count="122">
    <mergeCell ref="G5:H5"/>
    <mergeCell ref="G6:H6"/>
    <mergeCell ref="G7:H7"/>
    <mergeCell ref="G8:H8"/>
    <mergeCell ref="G9:H9"/>
    <mergeCell ref="J9:K9"/>
    <mergeCell ref="G2:N2"/>
    <mergeCell ref="G3:H3"/>
    <mergeCell ref="J3:K3"/>
    <mergeCell ref="M3:N3"/>
    <mergeCell ref="G4:H4"/>
    <mergeCell ref="J4:K4"/>
    <mergeCell ref="M4:N4"/>
    <mergeCell ref="G13:H13"/>
    <mergeCell ref="J13:K13"/>
    <mergeCell ref="M13:N13"/>
    <mergeCell ref="G14:H14"/>
    <mergeCell ref="J14:K14"/>
    <mergeCell ref="M14:N14"/>
    <mergeCell ref="M9:N9"/>
    <mergeCell ref="G11:H11"/>
    <mergeCell ref="J11:K11"/>
    <mergeCell ref="M11:N11"/>
    <mergeCell ref="G12:H12"/>
    <mergeCell ref="J12:K12"/>
    <mergeCell ref="M12:N12"/>
    <mergeCell ref="G18:H18"/>
    <mergeCell ref="J18:K18"/>
    <mergeCell ref="M18:N18"/>
    <mergeCell ref="G19:H19"/>
    <mergeCell ref="J19:K19"/>
    <mergeCell ref="M19:N19"/>
    <mergeCell ref="G15:H15"/>
    <mergeCell ref="J15:K15"/>
    <mergeCell ref="M15:N15"/>
    <mergeCell ref="G16:H16"/>
    <mergeCell ref="J16:K16"/>
    <mergeCell ref="M16:N16"/>
    <mergeCell ref="G22:H22"/>
    <mergeCell ref="J22:K22"/>
    <mergeCell ref="M22:N22"/>
    <mergeCell ref="G24:H24"/>
    <mergeCell ref="J24:K24"/>
    <mergeCell ref="M24:N24"/>
    <mergeCell ref="G20:H20"/>
    <mergeCell ref="J20:K20"/>
    <mergeCell ref="M20:N20"/>
    <mergeCell ref="G21:H21"/>
    <mergeCell ref="J21:K21"/>
    <mergeCell ref="M21:N21"/>
    <mergeCell ref="G28:H28"/>
    <mergeCell ref="J28:K28"/>
    <mergeCell ref="M28:N28"/>
    <mergeCell ref="G29:H29"/>
    <mergeCell ref="J29:K29"/>
    <mergeCell ref="M29:N29"/>
    <mergeCell ref="G25:H25"/>
    <mergeCell ref="J25:K25"/>
    <mergeCell ref="M25:N25"/>
    <mergeCell ref="G27:H27"/>
    <mergeCell ref="J27:K27"/>
    <mergeCell ref="M27:N27"/>
    <mergeCell ref="G34:H34"/>
    <mergeCell ref="J34:K34"/>
    <mergeCell ref="M34:N34"/>
    <mergeCell ref="G35:H35"/>
    <mergeCell ref="J35:K35"/>
    <mergeCell ref="M35:N35"/>
    <mergeCell ref="G31:H31"/>
    <mergeCell ref="J31:K31"/>
    <mergeCell ref="M31:N31"/>
    <mergeCell ref="G33:H33"/>
    <mergeCell ref="J33:K33"/>
    <mergeCell ref="M33:N33"/>
    <mergeCell ref="G39:H39"/>
    <mergeCell ref="J39:K39"/>
    <mergeCell ref="M39:N39"/>
    <mergeCell ref="G40:H40"/>
    <mergeCell ref="J40:K40"/>
    <mergeCell ref="M40:N40"/>
    <mergeCell ref="G36:H36"/>
    <mergeCell ref="J36:K36"/>
    <mergeCell ref="M36:N36"/>
    <mergeCell ref="G38:H38"/>
    <mergeCell ref="J38:K38"/>
    <mergeCell ref="M38:N38"/>
    <mergeCell ref="G51:H51"/>
    <mergeCell ref="J51:K51"/>
    <mergeCell ref="M51:N51"/>
    <mergeCell ref="G52:H52"/>
    <mergeCell ref="J52:K52"/>
    <mergeCell ref="M52:N52"/>
    <mergeCell ref="G41:H41"/>
    <mergeCell ref="J41:K41"/>
    <mergeCell ref="M41:N41"/>
    <mergeCell ref="G43:H43"/>
    <mergeCell ref="J43:K43"/>
    <mergeCell ref="M43:N43"/>
    <mergeCell ref="G59:H59"/>
    <mergeCell ref="J59:K59"/>
    <mergeCell ref="M59:N59"/>
    <mergeCell ref="G44:H44"/>
    <mergeCell ref="J44:K44"/>
    <mergeCell ref="M44:N44"/>
    <mergeCell ref="G57:H57"/>
    <mergeCell ref="J57:K57"/>
    <mergeCell ref="M57:N57"/>
    <mergeCell ref="G58:H58"/>
    <mergeCell ref="J58:K58"/>
    <mergeCell ref="M58:N58"/>
    <mergeCell ref="G55:H55"/>
    <mergeCell ref="J55:K55"/>
    <mergeCell ref="M55:N55"/>
    <mergeCell ref="G56:H56"/>
    <mergeCell ref="J56:K56"/>
    <mergeCell ref="M56:N56"/>
    <mergeCell ref="G53:H53"/>
    <mergeCell ref="J53:K53"/>
    <mergeCell ref="M53:N53"/>
    <mergeCell ref="G54:H54"/>
    <mergeCell ref="J54:K54"/>
    <mergeCell ref="M54:N54"/>
  </mergeCells>
  <printOptions/>
  <pageMargins left="0.25" right="0.25" top="0.75" bottom="0.75" header="0.3" footer="0.3"/>
  <pageSetup fitToHeight="1" fitToWidth="1" horizontalDpi="1200" verticalDpi="1200" orientation="portrait" scale="94" r:id="rId3"/>
  <colBreaks count="1" manualBreakCount="1">
    <brk id="14" max="16383"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V66"/>
  <sheetViews>
    <sheetView showGridLines="0" workbookViewId="0" topLeftCell="A12">
      <selection activeCell="M43" sqref="M43:N43"/>
    </sheetView>
  </sheetViews>
  <sheetFormatPr defaultColWidth="9.00390625" defaultRowHeight="11.25"/>
  <cols>
    <col min="1" max="1" width="4.625" style="1" customWidth="1"/>
    <col min="2" max="5" width="9.00390625" style="1" customWidth="1"/>
    <col min="6" max="6" width="7.125" style="1" customWidth="1"/>
    <col min="7" max="8" width="9.125" style="1" customWidth="1"/>
    <col min="9" max="9" width="1.75390625" style="1" customWidth="1"/>
    <col min="10" max="11" width="9.125" style="1" customWidth="1"/>
    <col min="12" max="12" width="1.75390625" style="1" customWidth="1"/>
    <col min="13" max="14" width="9.125" style="1" customWidth="1"/>
    <col min="15" max="15" width="3.75390625" style="10" customWidth="1"/>
    <col min="16" max="16384" width="9.00390625" style="10" customWidth="1"/>
  </cols>
  <sheetData>
    <row r="1" spans="1:14" s="12" customFormat="1" ht="11.25">
      <c r="A1" s="17" t="s">
        <v>88</v>
      </c>
      <c r="B1" s="18"/>
      <c r="C1" s="18"/>
      <c r="D1" s="18"/>
      <c r="E1" s="18"/>
      <c r="F1" s="18"/>
      <c r="G1" s="18"/>
      <c r="H1" s="18"/>
      <c r="I1" s="18"/>
      <c r="J1" s="18"/>
      <c r="K1" s="18"/>
      <c r="L1" s="18"/>
      <c r="M1" s="18"/>
      <c r="N1" s="19"/>
    </row>
    <row r="2" spans="1:16" s="12" customFormat="1" ht="11.25">
      <c r="A2" s="20" t="s">
        <v>89</v>
      </c>
      <c r="B2" s="15"/>
      <c r="C2" s="15"/>
      <c r="D2" s="15"/>
      <c r="E2" s="15"/>
      <c r="F2" s="15"/>
      <c r="G2" s="328" t="s">
        <v>26</v>
      </c>
      <c r="H2" s="328"/>
      <c r="I2" s="328"/>
      <c r="J2" s="328"/>
      <c r="K2" s="328"/>
      <c r="L2" s="328"/>
      <c r="M2" s="328"/>
      <c r="N2" s="329"/>
      <c r="P2" s="43" t="s">
        <v>27</v>
      </c>
    </row>
    <row r="3" spans="1:14" ht="11.25">
      <c r="A3" s="45"/>
      <c r="B3" s="2"/>
      <c r="C3" s="2"/>
      <c r="D3" s="2"/>
      <c r="E3" s="2"/>
      <c r="F3" s="16" t="s">
        <v>14</v>
      </c>
      <c r="G3" s="330">
        <v>19</v>
      </c>
      <c r="H3" s="327"/>
      <c r="I3" s="2"/>
      <c r="J3" s="330">
        <v>18</v>
      </c>
      <c r="K3" s="327"/>
      <c r="L3" s="2"/>
      <c r="M3" s="330">
        <v>17</v>
      </c>
      <c r="N3" s="331"/>
    </row>
    <row r="4" spans="1:14" ht="11.25">
      <c r="A4" s="20"/>
      <c r="B4" s="2"/>
      <c r="C4" s="2"/>
      <c r="D4" s="2"/>
      <c r="E4" s="2"/>
      <c r="F4" s="16" t="s">
        <v>15</v>
      </c>
      <c r="G4" s="330" t="s">
        <v>80</v>
      </c>
      <c r="H4" s="327"/>
      <c r="I4" s="2"/>
      <c r="J4" s="330" t="s">
        <v>81</v>
      </c>
      <c r="K4" s="327"/>
      <c r="L4" s="2"/>
      <c r="M4" s="330" t="s">
        <v>82</v>
      </c>
      <c r="N4" s="331"/>
    </row>
    <row r="5" spans="1:14" ht="11.25">
      <c r="A5" s="20"/>
      <c r="B5" s="2"/>
      <c r="C5" s="2"/>
      <c r="D5" s="2"/>
      <c r="E5" s="2"/>
      <c r="F5" s="16" t="s">
        <v>16</v>
      </c>
      <c r="G5" s="321" t="s">
        <v>102</v>
      </c>
      <c r="H5" s="322"/>
      <c r="I5" s="2"/>
      <c r="J5" s="28"/>
      <c r="K5" s="28"/>
      <c r="L5" s="28"/>
      <c r="M5" s="28"/>
      <c r="N5" s="33"/>
    </row>
    <row r="6" spans="1:14" ht="11.25">
      <c r="A6" s="20"/>
      <c r="B6" s="2"/>
      <c r="C6" s="2"/>
      <c r="D6" s="2"/>
      <c r="E6" s="2"/>
      <c r="F6" s="16" t="s">
        <v>17</v>
      </c>
      <c r="G6" s="323" t="s">
        <v>103</v>
      </c>
      <c r="H6" s="323"/>
      <c r="I6" s="2"/>
      <c r="J6" s="28"/>
      <c r="K6" s="28"/>
      <c r="L6" s="28"/>
      <c r="M6" s="28"/>
      <c r="N6" s="33"/>
    </row>
    <row r="7" spans="1:14" ht="11.25">
      <c r="A7" s="20"/>
      <c r="B7" s="2"/>
      <c r="C7" s="2"/>
      <c r="D7" s="2"/>
      <c r="E7" s="2"/>
      <c r="F7" s="16" t="s">
        <v>33</v>
      </c>
      <c r="G7" s="324" t="s">
        <v>97</v>
      </c>
      <c r="H7" s="325"/>
      <c r="I7" s="2"/>
      <c r="J7" s="28"/>
      <c r="K7" s="28"/>
      <c r="L7" s="28"/>
      <c r="M7" s="28"/>
      <c r="N7" s="33"/>
    </row>
    <row r="8" spans="1:14" ht="11.25">
      <c r="A8" s="20"/>
      <c r="B8" s="2"/>
      <c r="C8" s="2"/>
      <c r="D8" s="2"/>
      <c r="E8" s="2"/>
      <c r="F8" s="16" t="s">
        <v>18</v>
      </c>
      <c r="G8" s="326">
        <v>43935</v>
      </c>
      <c r="H8" s="327"/>
      <c r="I8" s="2"/>
      <c r="J8" s="28"/>
      <c r="K8" s="28"/>
      <c r="L8" s="28"/>
      <c r="M8" s="28"/>
      <c r="N8" s="33"/>
    </row>
    <row r="9" spans="1:14" ht="12.75">
      <c r="A9" s="21" t="s">
        <v>2</v>
      </c>
      <c r="B9" s="22"/>
      <c r="C9" s="4"/>
      <c r="D9" s="4"/>
      <c r="E9" s="3"/>
      <c r="F9" s="3"/>
      <c r="G9" s="319"/>
      <c r="H9" s="319"/>
      <c r="I9" s="3"/>
      <c r="J9" s="319"/>
      <c r="K9" s="319"/>
      <c r="L9" s="3"/>
      <c r="M9" s="319"/>
      <c r="N9" s="320"/>
    </row>
    <row r="10" spans="1:15" ht="12.75">
      <c r="A10" s="20"/>
      <c r="B10" s="22" t="s">
        <v>56</v>
      </c>
      <c r="C10" s="4"/>
      <c r="D10" s="4"/>
      <c r="E10" s="3"/>
      <c r="F10" s="29"/>
      <c r="G10" s="58"/>
      <c r="H10" s="58"/>
      <c r="I10" s="5"/>
      <c r="J10" s="58"/>
      <c r="K10" s="58"/>
      <c r="L10" s="5"/>
      <c r="M10" s="58"/>
      <c r="N10" s="59"/>
      <c r="O10" s="11"/>
    </row>
    <row r="11" spans="1:16" ht="11.25">
      <c r="A11" s="20"/>
      <c r="B11" s="22"/>
      <c r="C11" s="6"/>
      <c r="D11" s="6"/>
      <c r="E11" s="7"/>
      <c r="F11" s="30" t="s">
        <v>7</v>
      </c>
      <c r="G11" s="313">
        <v>20195</v>
      </c>
      <c r="H11" s="314"/>
      <c r="I11" s="5"/>
      <c r="J11" s="313">
        <v>21008</v>
      </c>
      <c r="K11" s="314"/>
      <c r="L11" s="5"/>
      <c r="M11" s="313">
        <v>20407</v>
      </c>
      <c r="N11" s="315"/>
      <c r="P11" s="10" t="s">
        <v>28</v>
      </c>
    </row>
    <row r="12" spans="1:16" ht="12.75">
      <c r="A12" s="20"/>
      <c r="B12" s="22"/>
      <c r="C12" s="4"/>
      <c r="D12" s="4"/>
      <c r="E12" s="3"/>
      <c r="F12" s="29" t="s">
        <v>5</v>
      </c>
      <c r="G12" s="316">
        <v>-0.005</v>
      </c>
      <c r="H12" s="317"/>
      <c r="I12" s="5"/>
      <c r="J12" s="316">
        <v>0.009</v>
      </c>
      <c r="K12" s="317"/>
      <c r="L12" s="5"/>
      <c r="M12" s="316">
        <v>-0.034</v>
      </c>
      <c r="N12" s="318"/>
      <c r="O12" s="11"/>
      <c r="P12" s="10" t="s">
        <v>29</v>
      </c>
    </row>
    <row r="13" spans="1:16" ht="12.75">
      <c r="A13" s="20"/>
      <c r="B13" s="22"/>
      <c r="C13" s="4"/>
      <c r="D13" s="4"/>
      <c r="E13" s="3"/>
      <c r="F13" s="29" t="s">
        <v>53</v>
      </c>
      <c r="G13" s="313">
        <v>2</v>
      </c>
      <c r="H13" s="314"/>
      <c r="I13" s="5"/>
      <c r="J13" s="313">
        <v>2</v>
      </c>
      <c r="K13" s="314"/>
      <c r="L13" s="5"/>
      <c r="M13" s="313">
        <v>2</v>
      </c>
      <c r="N13" s="315"/>
      <c r="O13" s="11"/>
      <c r="P13" s="10" t="s">
        <v>71</v>
      </c>
    </row>
    <row r="14" spans="1:16" ht="12.75">
      <c r="A14" s="20"/>
      <c r="B14" s="22"/>
      <c r="C14" s="4"/>
      <c r="D14" s="4"/>
      <c r="E14" s="3"/>
      <c r="F14" s="29" t="s">
        <v>54</v>
      </c>
      <c r="G14" s="313">
        <f>795-24-259-4-2-200</f>
        <v>306</v>
      </c>
      <c r="H14" s="314"/>
      <c r="I14" s="5"/>
      <c r="J14" s="313">
        <f>17+8+320+10</f>
        <v>355</v>
      </c>
      <c r="K14" s="314"/>
      <c r="L14" s="5"/>
      <c r="M14" s="313">
        <f>17+13+315+5</f>
        <v>350</v>
      </c>
      <c r="N14" s="315"/>
      <c r="O14" s="11"/>
      <c r="P14" s="10" t="s">
        <v>70</v>
      </c>
    </row>
    <row r="15" spans="1:16" ht="12.75">
      <c r="A15" s="20"/>
      <c r="B15" s="22"/>
      <c r="C15" s="4"/>
      <c r="D15" s="4"/>
      <c r="E15" s="3"/>
      <c r="F15" s="29" t="s">
        <v>55</v>
      </c>
      <c r="G15" s="313">
        <f>795-G14-G21</f>
        <v>465</v>
      </c>
      <c r="H15" s="314"/>
      <c r="I15" s="5"/>
      <c r="J15" s="313">
        <f>801-J14-J21</f>
        <v>425</v>
      </c>
      <c r="K15" s="314"/>
      <c r="L15" s="5"/>
      <c r="M15" s="313">
        <f>785-M14-M21</f>
        <v>416</v>
      </c>
      <c r="N15" s="315"/>
      <c r="O15" s="11"/>
      <c r="P15" s="10" t="s">
        <v>69</v>
      </c>
    </row>
    <row r="16" spans="1:16" ht="12.75">
      <c r="A16" s="20"/>
      <c r="B16" s="22"/>
      <c r="C16" s="4"/>
      <c r="D16" s="4"/>
      <c r="E16" s="3"/>
      <c r="F16" s="29" t="s">
        <v>78</v>
      </c>
      <c r="G16" s="313">
        <v>155</v>
      </c>
      <c r="H16" s="314"/>
      <c r="I16" s="5"/>
      <c r="J16" s="313">
        <v>155</v>
      </c>
      <c r="K16" s="314"/>
      <c r="L16" s="5"/>
      <c r="M16" s="313">
        <v>139</v>
      </c>
      <c r="N16" s="315"/>
      <c r="O16" s="11"/>
      <c r="P16" s="10" t="s">
        <v>86</v>
      </c>
    </row>
    <row r="17" spans="1:15" ht="12.75">
      <c r="A17" s="20"/>
      <c r="B17" s="22" t="s">
        <v>57</v>
      </c>
      <c r="C17" s="4"/>
      <c r="D17" s="4"/>
      <c r="E17" s="3"/>
      <c r="F17" s="29"/>
      <c r="G17" s="58"/>
      <c r="H17" s="58"/>
      <c r="I17" s="5"/>
      <c r="J17" s="58"/>
      <c r="K17" s="58"/>
      <c r="L17" s="5"/>
      <c r="M17" s="58"/>
      <c r="N17" s="59"/>
      <c r="O17" s="11"/>
    </row>
    <row r="18" spans="1:16" ht="11.25">
      <c r="A18" s="20"/>
      <c r="B18" s="22"/>
      <c r="C18" s="6"/>
      <c r="D18" s="6"/>
      <c r="E18" s="7"/>
      <c r="F18" s="30" t="s">
        <v>7</v>
      </c>
      <c r="G18" s="313">
        <v>441</v>
      </c>
      <c r="H18" s="314"/>
      <c r="I18" s="5"/>
      <c r="J18" s="313">
        <v>330</v>
      </c>
      <c r="K18" s="314"/>
      <c r="L18" s="5"/>
      <c r="M18" s="313">
        <v>297</v>
      </c>
      <c r="N18" s="315"/>
      <c r="P18" s="10" t="s">
        <v>28</v>
      </c>
    </row>
    <row r="19" spans="1:16" ht="12.75">
      <c r="A19" s="20"/>
      <c r="B19" s="22"/>
      <c r="C19" s="4"/>
      <c r="D19" s="4"/>
      <c r="E19" s="3"/>
      <c r="F19" s="29" t="s">
        <v>5</v>
      </c>
      <c r="G19" s="316">
        <v>0.219</v>
      </c>
      <c r="H19" s="317"/>
      <c r="I19" s="5"/>
      <c r="J19" s="316">
        <v>0.236</v>
      </c>
      <c r="K19" s="317"/>
      <c r="L19" s="5"/>
      <c r="M19" s="316">
        <v>0.063</v>
      </c>
      <c r="N19" s="318"/>
      <c r="O19" s="11"/>
      <c r="P19" s="10" t="s">
        <v>29</v>
      </c>
    </row>
    <row r="20" spans="1:16" ht="12.75">
      <c r="A20" s="20"/>
      <c r="B20" s="22"/>
      <c r="C20" s="4"/>
      <c r="D20" s="4"/>
      <c r="E20" s="3"/>
      <c r="F20" s="29" t="s">
        <v>58</v>
      </c>
      <c r="G20" s="313">
        <v>1</v>
      </c>
      <c r="H20" s="314"/>
      <c r="I20" s="5"/>
      <c r="J20" s="313">
        <v>1</v>
      </c>
      <c r="K20" s="314"/>
      <c r="L20" s="5"/>
      <c r="M20" s="313">
        <v>1</v>
      </c>
      <c r="N20" s="315"/>
      <c r="O20" s="11"/>
      <c r="P20" s="10" t="s">
        <v>71</v>
      </c>
    </row>
    <row r="21" spans="1:16" ht="12.75">
      <c r="A21" s="20"/>
      <c r="B21" s="22"/>
      <c r="C21" s="4"/>
      <c r="D21" s="4"/>
      <c r="E21" s="3"/>
      <c r="F21" s="29" t="s">
        <v>59</v>
      </c>
      <c r="G21" s="313">
        <v>24</v>
      </c>
      <c r="H21" s="314"/>
      <c r="I21" s="5"/>
      <c r="J21" s="313">
        <v>21</v>
      </c>
      <c r="K21" s="314"/>
      <c r="L21" s="5"/>
      <c r="M21" s="313">
        <v>19</v>
      </c>
      <c r="N21" s="315"/>
      <c r="O21" s="11"/>
      <c r="P21" s="10" t="s">
        <v>83</v>
      </c>
    </row>
    <row r="22" spans="1:16" ht="12.75">
      <c r="A22" s="20"/>
      <c r="B22" s="22"/>
      <c r="C22" s="4"/>
      <c r="D22" s="4"/>
      <c r="E22" s="3"/>
      <c r="F22" s="29" t="s">
        <v>78</v>
      </c>
      <c r="G22" s="313">
        <v>9</v>
      </c>
      <c r="H22" s="314"/>
      <c r="I22" s="5"/>
      <c r="J22" s="313">
        <v>11</v>
      </c>
      <c r="K22" s="314"/>
      <c r="L22" s="5"/>
      <c r="M22" s="313">
        <v>7</v>
      </c>
      <c r="N22" s="315"/>
      <c r="O22" s="11"/>
      <c r="P22" s="10" t="s">
        <v>86</v>
      </c>
    </row>
    <row r="23" spans="1:14" ht="11.25">
      <c r="A23" s="20"/>
      <c r="B23" s="4" t="s">
        <v>6</v>
      </c>
      <c r="C23" s="4"/>
      <c r="D23" s="4"/>
      <c r="E23" s="3"/>
      <c r="F23" s="3"/>
      <c r="G23" s="23"/>
      <c r="H23" s="23"/>
      <c r="I23" s="5"/>
      <c r="J23" s="23"/>
      <c r="K23" s="23"/>
      <c r="L23" s="5"/>
      <c r="M23" s="23"/>
      <c r="N23" s="24"/>
    </row>
    <row r="24" spans="1:16" ht="11.25">
      <c r="A24" s="20"/>
      <c r="B24" s="22"/>
      <c r="C24" s="4"/>
      <c r="D24" s="4"/>
      <c r="E24" s="3"/>
      <c r="F24" s="29" t="s">
        <v>20</v>
      </c>
      <c r="G24" s="293">
        <v>0.467</v>
      </c>
      <c r="H24" s="294"/>
      <c r="I24" s="3"/>
      <c r="J24" s="293">
        <v>0.474</v>
      </c>
      <c r="K24" s="294"/>
      <c r="L24" s="3"/>
      <c r="M24" s="293">
        <v>0.473</v>
      </c>
      <c r="N24" s="295"/>
      <c r="P24" s="10" t="s">
        <v>30</v>
      </c>
    </row>
    <row r="25" spans="1:16" ht="11.25">
      <c r="A25" s="20"/>
      <c r="B25" s="22"/>
      <c r="C25" s="4"/>
      <c r="D25" s="4"/>
      <c r="E25" s="3"/>
      <c r="F25" s="29" t="s">
        <v>21</v>
      </c>
      <c r="G25" s="293">
        <v>0.533</v>
      </c>
      <c r="H25" s="294"/>
      <c r="I25" s="3"/>
      <c r="J25" s="293">
        <v>0.526</v>
      </c>
      <c r="K25" s="294"/>
      <c r="L25" s="3"/>
      <c r="M25" s="293">
        <v>0.527</v>
      </c>
      <c r="N25" s="295"/>
      <c r="P25" s="10" t="s">
        <v>31</v>
      </c>
    </row>
    <row r="26" spans="1:14" ht="11.25">
      <c r="A26" s="62" t="s">
        <v>60</v>
      </c>
      <c r="B26" s="22"/>
      <c r="C26" s="4"/>
      <c r="D26" s="4"/>
      <c r="E26" s="3"/>
      <c r="F26" s="29"/>
      <c r="G26" s="60"/>
      <c r="H26" s="60"/>
      <c r="I26" s="5"/>
      <c r="J26" s="60"/>
      <c r="K26" s="60"/>
      <c r="L26" s="5"/>
      <c r="M26" s="60"/>
      <c r="N26" s="61"/>
    </row>
    <row r="27" spans="1:16" ht="11.25">
      <c r="A27" s="20"/>
      <c r="B27" s="22"/>
      <c r="C27" s="4"/>
      <c r="D27" s="4"/>
      <c r="E27" s="3"/>
      <c r="F27" s="29" t="s">
        <v>61</v>
      </c>
      <c r="G27" s="313">
        <f>2064196.8-G28</f>
        <v>1994841.8</v>
      </c>
      <c r="H27" s="314"/>
      <c r="I27" s="5"/>
      <c r="J27" s="313">
        <f>2015620.58-J28</f>
        <v>1947917.58</v>
      </c>
      <c r="K27" s="314"/>
      <c r="L27" s="5"/>
      <c r="M27" s="313">
        <f>1959136.06-M28</f>
        <v>1892950.06</v>
      </c>
      <c r="N27" s="315"/>
      <c r="P27" s="10" t="s">
        <v>91</v>
      </c>
    </row>
    <row r="28" spans="1:16" ht="11.25">
      <c r="A28" s="20"/>
      <c r="B28" s="22"/>
      <c r="C28" s="4"/>
      <c r="D28" s="4"/>
      <c r="E28" s="3"/>
      <c r="F28" s="29" t="s">
        <v>62</v>
      </c>
      <c r="G28" s="313">
        <f>40389+28966</f>
        <v>69355</v>
      </c>
      <c r="H28" s="314"/>
      <c r="I28" s="5"/>
      <c r="J28" s="313">
        <f>39305+28398</f>
        <v>67703</v>
      </c>
      <c r="K28" s="314"/>
      <c r="L28" s="5"/>
      <c r="M28" s="313">
        <f>38436+27750</f>
        <v>66186</v>
      </c>
      <c r="N28" s="315"/>
      <c r="P28" s="10" t="s">
        <v>91</v>
      </c>
    </row>
    <row r="29" spans="1:16" ht="11.25">
      <c r="A29" s="20"/>
      <c r="B29" s="22"/>
      <c r="C29" s="4"/>
      <c r="D29" s="4"/>
      <c r="E29" s="3"/>
      <c r="F29" s="29" t="s">
        <v>63</v>
      </c>
      <c r="G29" s="310">
        <v>596686.69</v>
      </c>
      <c r="H29" s="311"/>
      <c r="I29" s="5"/>
      <c r="J29" s="310">
        <v>589976.26</v>
      </c>
      <c r="K29" s="311"/>
      <c r="L29" s="5"/>
      <c r="M29" s="310">
        <v>573512.87</v>
      </c>
      <c r="N29" s="312"/>
      <c r="P29" s="10" t="s">
        <v>90</v>
      </c>
    </row>
    <row r="30" spans="1:14" ht="11.25">
      <c r="A30" s="20"/>
      <c r="B30" s="22"/>
      <c r="C30" s="4"/>
      <c r="D30" s="4"/>
      <c r="E30" s="3"/>
      <c r="F30" s="29"/>
      <c r="G30" s="73"/>
      <c r="H30" s="74"/>
      <c r="I30" s="5"/>
      <c r="J30" s="73"/>
      <c r="K30" s="74"/>
      <c r="L30" s="5"/>
      <c r="M30" s="73"/>
      <c r="N30" s="75"/>
    </row>
    <row r="31" spans="1:18" ht="11.25">
      <c r="A31" s="20"/>
      <c r="B31" s="4"/>
      <c r="C31" s="4"/>
      <c r="D31" s="4"/>
      <c r="E31" s="3"/>
      <c r="F31" s="63" t="s">
        <v>64</v>
      </c>
      <c r="G31" s="299">
        <f>SUM(G27:H29)/(G11+G18)</f>
        <v>128.943762841636</v>
      </c>
      <c r="H31" s="300"/>
      <c r="I31" s="22"/>
      <c r="J31" s="299">
        <f>SUM(J27:K29)/(J11+J18)</f>
        <v>122.11064017246227</v>
      </c>
      <c r="K31" s="300"/>
      <c r="L31" s="22"/>
      <c r="M31" s="299">
        <f>SUM(M27:N29)/(M11+M18)</f>
        <v>122.32655187403401</v>
      </c>
      <c r="N31" s="301"/>
      <c r="O31"/>
      <c r="P31" t="s">
        <v>32</v>
      </c>
      <c r="Q31"/>
      <c r="R31"/>
    </row>
    <row r="32" spans="1:14" ht="11.25">
      <c r="A32" s="21" t="s">
        <v>3</v>
      </c>
      <c r="B32" s="22"/>
      <c r="C32" s="4"/>
      <c r="D32" s="4"/>
      <c r="E32" s="3"/>
      <c r="F32" s="3"/>
      <c r="G32" s="8"/>
      <c r="H32" s="8"/>
      <c r="I32" s="3"/>
      <c r="J32" s="8"/>
      <c r="K32" s="8"/>
      <c r="L32" s="3"/>
      <c r="M32" s="8"/>
      <c r="N32" s="25"/>
    </row>
    <row r="33" spans="1:22" ht="11.25">
      <c r="A33" s="20"/>
      <c r="B33" s="22"/>
      <c r="C33" s="4"/>
      <c r="D33" s="48"/>
      <c r="E33" s="49"/>
      <c r="F33" s="50" t="s">
        <v>43</v>
      </c>
      <c r="G33" s="302">
        <f>6.7+7</f>
        <v>13.7</v>
      </c>
      <c r="H33" s="303"/>
      <c r="I33" s="56"/>
      <c r="J33" s="302">
        <f>6.6+5.6</f>
        <v>12.2</v>
      </c>
      <c r="K33" s="303"/>
      <c r="L33" s="56"/>
      <c r="M33" s="302">
        <f>6.3+5.1</f>
        <v>11.399999999999999</v>
      </c>
      <c r="N33" s="304"/>
      <c r="O33"/>
      <c r="P33" s="46" t="s">
        <v>47</v>
      </c>
      <c r="Q33" s="47"/>
      <c r="R33" s="47"/>
      <c r="S33" s="46"/>
      <c r="T33" s="46"/>
      <c r="U33" s="46"/>
      <c r="V33" s="46"/>
    </row>
    <row r="34" spans="1:22" ht="11.25">
      <c r="A34" s="20"/>
      <c r="B34" s="22"/>
      <c r="C34" s="4"/>
      <c r="D34" s="48"/>
      <c r="E34" s="49"/>
      <c r="F34" s="50" t="s">
        <v>44</v>
      </c>
      <c r="G34" s="302">
        <f>2.2/36*45</f>
        <v>2.75</v>
      </c>
      <c r="H34" s="303"/>
      <c r="I34" s="56"/>
      <c r="J34" s="302">
        <f>2.7/36*45</f>
        <v>3.3750000000000004</v>
      </c>
      <c r="K34" s="303"/>
      <c r="L34" s="56"/>
      <c r="M34" s="302">
        <f>3/36*45</f>
        <v>3.75</v>
      </c>
      <c r="N34" s="304"/>
      <c r="O34"/>
      <c r="P34" s="46" t="s">
        <v>48</v>
      </c>
      <c r="Q34" s="47"/>
      <c r="R34" s="47"/>
      <c r="S34" s="46"/>
      <c r="T34" s="46"/>
      <c r="U34" s="46"/>
      <c r="V34" s="46"/>
    </row>
    <row r="35" spans="1:22" ht="11.25">
      <c r="A35" s="20"/>
      <c r="B35" s="22"/>
      <c r="C35" s="4"/>
      <c r="D35" s="48"/>
      <c r="E35" s="49"/>
      <c r="F35" s="50" t="s">
        <v>45</v>
      </c>
      <c r="G35" s="307">
        <f>0.8/36*45</f>
        <v>1</v>
      </c>
      <c r="H35" s="308"/>
      <c r="I35" s="56"/>
      <c r="J35" s="307">
        <f>1.6/36*45</f>
        <v>2</v>
      </c>
      <c r="K35" s="308"/>
      <c r="L35" s="56"/>
      <c r="M35" s="307">
        <f>1.3/36*45</f>
        <v>1.6250000000000002</v>
      </c>
      <c r="N35" s="309"/>
      <c r="O35"/>
      <c r="P35" s="46" t="s">
        <v>50</v>
      </c>
      <c r="Q35" s="47"/>
      <c r="R35" s="47"/>
      <c r="S35" s="46"/>
      <c r="T35" s="46"/>
      <c r="U35" s="46"/>
      <c r="V35" s="46"/>
    </row>
    <row r="36" spans="1:22" ht="11.25">
      <c r="A36" s="20"/>
      <c r="B36" s="22"/>
      <c r="C36" s="4"/>
      <c r="D36" s="48"/>
      <c r="E36" s="49"/>
      <c r="F36" s="50" t="s">
        <v>46</v>
      </c>
      <c r="G36" s="305">
        <v>0</v>
      </c>
      <c r="H36" s="305"/>
      <c r="I36" s="56"/>
      <c r="J36" s="305">
        <v>0</v>
      </c>
      <c r="K36" s="305"/>
      <c r="L36" s="56"/>
      <c r="M36" s="305">
        <v>0</v>
      </c>
      <c r="N36" s="306"/>
      <c r="O36"/>
      <c r="P36" s="46" t="s">
        <v>49</v>
      </c>
      <c r="Q36" s="47"/>
      <c r="R36" s="47"/>
      <c r="S36" s="46"/>
      <c r="T36" s="46"/>
      <c r="U36" s="46"/>
      <c r="V36" s="46"/>
    </row>
    <row r="37" spans="1:18" s="69" customFormat="1" ht="11.25">
      <c r="A37" s="64"/>
      <c r="B37" s="65"/>
      <c r="C37" s="66"/>
      <c r="D37" s="66"/>
      <c r="E37" s="5"/>
      <c r="F37" s="67"/>
      <c r="G37" s="70"/>
      <c r="H37" s="70"/>
      <c r="I37" s="68"/>
      <c r="J37" s="70"/>
      <c r="K37" s="70"/>
      <c r="L37" s="68"/>
      <c r="M37" s="70"/>
      <c r="N37" s="71"/>
      <c r="O37" s="12"/>
      <c r="Q37" s="12"/>
      <c r="R37" s="12"/>
    </row>
    <row r="38" spans="1:22" ht="11.25">
      <c r="A38" s="20"/>
      <c r="B38" s="22"/>
      <c r="C38" s="4"/>
      <c r="D38" s="48"/>
      <c r="E38" s="49"/>
      <c r="F38" s="50" t="s">
        <v>66</v>
      </c>
      <c r="G38" s="305">
        <f>5778+6584</f>
        <v>12362</v>
      </c>
      <c r="H38" s="305"/>
      <c r="I38" s="56"/>
      <c r="J38" s="305">
        <f>5908+5442</f>
        <v>11350</v>
      </c>
      <c r="K38" s="305"/>
      <c r="L38" s="56"/>
      <c r="M38" s="305">
        <f>5745+5115</f>
        <v>10860</v>
      </c>
      <c r="N38" s="306"/>
      <c r="O38"/>
      <c r="P38" s="46" t="s">
        <v>72</v>
      </c>
      <c r="Q38" s="47"/>
      <c r="R38" s="47"/>
      <c r="S38" s="46"/>
      <c r="T38" s="46"/>
      <c r="U38" s="46"/>
      <c r="V38" s="46"/>
    </row>
    <row r="39" spans="1:22" ht="11.25">
      <c r="A39" s="20"/>
      <c r="B39" s="22"/>
      <c r="C39" s="4"/>
      <c r="D39" s="48"/>
      <c r="E39" s="49"/>
      <c r="F39" s="50" t="s">
        <v>65</v>
      </c>
      <c r="G39" s="299">
        <v>8069</v>
      </c>
      <c r="H39" s="300"/>
      <c r="I39" s="56"/>
      <c r="J39" s="299">
        <v>8653</v>
      </c>
      <c r="K39" s="300"/>
      <c r="L39" s="56"/>
      <c r="M39" s="299">
        <v>8714</v>
      </c>
      <c r="N39" s="301"/>
      <c r="O39"/>
      <c r="P39" s="46" t="s">
        <v>73</v>
      </c>
      <c r="Q39" s="47"/>
      <c r="R39" s="47"/>
      <c r="S39" s="46"/>
      <c r="T39" s="46"/>
      <c r="U39" s="46"/>
      <c r="V39" s="46"/>
    </row>
    <row r="40" spans="1:22" ht="11.25">
      <c r="A40" s="20"/>
      <c r="B40" s="22"/>
      <c r="C40" s="4"/>
      <c r="D40" s="48"/>
      <c r="E40" s="49"/>
      <c r="F40" s="50" t="s">
        <v>67</v>
      </c>
      <c r="G40" s="302">
        <v>470</v>
      </c>
      <c r="H40" s="303"/>
      <c r="I40" s="56"/>
      <c r="J40" s="302">
        <v>1360</v>
      </c>
      <c r="K40" s="303"/>
      <c r="L40" s="56"/>
      <c r="M40" s="302">
        <v>1184</v>
      </c>
      <c r="N40" s="304"/>
      <c r="O40"/>
      <c r="P40" s="46" t="s">
        <v>75</v>
      </c>
      <c r="Q40" s="47"/>
      <c r="R40" s="47"/>
      <c r="S40" s="46"/>
      <c r="T40" s="46"/>
      <c r="U40" s="46"/>
      <c r="V40" s="46"/>
    </row>
    <row r="41" spans="1:22" ht="11.25">
      <c r="A41" s="20"/>
      <c r="B41" s="22"/>
      <c r="C41" s="4"/>
      <c r="D41" s="48"/>
      <c r="E41" s="49"/>
      <c r="F41" s="50" t="s">
        <v>68</v>
      </c>
      <c r="G41" s="302">
        <v>0</v>
      </c>
      <c r="H41" s="303"/>
      <c r="I41" s="56"/>
      <c r="J41" s="302">
        <v>0</v>
      </c>
      <c r="K41" s="303"/>
      <c r="L41" s="56"/>
      <c r="M41" s="302">
        <v>0</v>
      </c>
      <c r="N41" s="304"/>
      <c r="O41"/>
      <c r="P41" s="46" t="s">
        <v>74</v>
      </c>
      <c r="Q41" s="47"/>
      <c r="R41" s="47"/>
      <c r="S41" s="46"/>
      <c r="T41" s="46"/>
      <c r="U41" s="46"/>
      <c r="V41" s="46"/>
    </row>
    <row r="42" spans="1:18" ht="11.25">
      <c r="A42" s="20"/>
      <c r="B42" s="4"/>
      <c r="C42" s="4"/>
      <c r="D42" s="4"/>
      <c r="E42" s="3"/>
      <c r="F42" s="3"/>
      <c r="G42" s="9"/>
      <c r="H42" s="9"/>
      <c r="I42" s="22"/>
      <c r="J42" s="9"/>
      <c r="K42" s="9"/>
      <c r="L42" s="22"/>
      <c r="M42" s="9"/>
      <c r="N42" s="26"/>
      <c r="O42"/>
      <c r="P42"/>
      <c r="Q42"/>
      <c r="R42"/>
    </row>
    <row r="43" spans="1:18" ht="11.25">
      <c r="A43" s="20"/>
      <c r="B43" s="22"/>
      <c r="C43" s="4"/>
      <c r="D43" s="4"/>
      <c r="E43" s="3"/>
      <c r="F43" s="29" t="s">
        <v>22</v>
      </c>
      <c r="G43" s="302">
        <f>+(G11+G18)/(G33+G34)</f>
        <v>1254.4680851063831</v>
      </c>
      <c r="H43" s="303"/>
      <c r="I43" s="22"/>
      <c r="J43" s="302">
        <f>+(J11+J18)/(J33+J34)</f>
        <v>1370.016051364366</v>
      </c>
      <c r="K43" s="303"/>
      <c r="L43" s="22"/>
      <c r="M43" s="302">
        <f>+(M11+M18)/(M33+M34)</f>
        <v>1366.6006600660066</v>
      </c>
      <c r="N43" s="303"/>
      <c r="O43"/>
      <c r="P43" t="s">
        <v>32</v>
      </c>
      <c r="Q43"/>
      <c r="R43"/>
    </row>
    <row r="44" spans="1:18" ht="11.25">
      <c r="A44" s="20"/>
      <c r="B44" s="22"/>
      <c r="C44" s="4"/>
      <c r="D44" s="4"/>
      <c r="E44" s="3"/>
      <c r="F44" s="29" t="s">
        <v>216</v>
      </c>
      <c r="G44" s="332">
        <f>(G11+G18)/SUM(G33:H36)</f>
        <v>1182.5787965616046</v>
      </c>
      <c r="H44" s="332"/>
      <c r="I44" s="22"/>
      <c r="J44" s="332">
        <f>(J11+J18)/SUM(J33:K36)</f>
        <v>1214.1109530583215</v>
      </c>
      <c r="K44" s="332"/>
      <c r="L44" s="22"/>
      <c r="M44" s="332">
        <f>(M11+M18)/SUM(M33:N36)</f>
        <v>1234.2175856929957</v>
      </c>
      <c r="N44" s="332"/>
      <c r="O44"/>
      <c r="P44"/>
      <c r="Q44"/>
      <c r="R44"/>
    </row>
    <row r="45" spans="1:17" ht="11.25">
      <c r="A45" s="20"/>
      <c r="B45" s="4"/>
      <c r="C45" s="4"/>
      <c r="D45" s="4"/>
      <c r="E45" s="3"/>
      <c r="F45" s="3"/>
      <c r="G45" s="34" t="s">
        <v>24</v>
      </c>
      <c r="H45" s="34" t="s">
        <v>23</v>
      </c>
      <c r="I45" s="28"/>
      <c r="J45" s="34" t="s">
        <v>24</v>
      </c>
      <c r="K45" s="34" t="s">
        <v>23</v>
      </c>
      <c r="L45" s="28"/>
      <c r="M45" s="34" t="s">
        <v>24</v>
      </c>
      <c r="N45" s="35" t="s">
        <v>23</v>
      </c>
      <c r="O45" s="14"/>
      <c r="P45" s="13"/>
      <c r="Q45" s="31"/>
    </row>
    <row r="46" spans="1:22" ht="11.25">
      <c r="A46" s="20"/>
      <c r="B46" s="4"/>
      <c r="C46" s="4"/>
      <c r="D46" s="52"/>
      <c r="E46" s="53"/>
      <c r="F46" s="54" t="s">
        <v>25</v>
      </c>
      <c r="G46" s="76">
        <v>18</v>
      </c>
      <c r="H46" s="32">
        <f>G46/SUM($G$46:$G$49)</f>
        <v>0.8119079837618403</v>
      </c>
      <c r="I46" s="28"/>
      <c r="J46" s="76">
        <v>17</v>
      </c>
      <c r="K46" s="32">
        <f>J46/SUM($J$46:$J$49)</f>
        <v>0.7293007293007292</v>
      </c>
      <c r="L46" s="28"/>
      <c r="M46" s="76">
        <v>17</v>
      </c>
      <c r="N46" s="36">
        <f>M46/SUM($M$46:$M$49)</f>
        <v>0.8334943424074658</v>
      </c>
      <c r="O46" s="14"/>
      <c r="P46" s="55" t="s">
        <v>84</v>
      </c>
      <c r="Q46" s="51"/>
      <c r="R46" s="55"/>
      <c r="S46" s="55"/>
      <c r="T46" s="55"/>
      <c r="U46" s="55"/>
      <c r="V46" s="55"/>
    </row>
    <row r="47" spans="1:22" ht="11.25">
      <c r="A47" s="20"/>
      <c r="B47" s="4"/>
      <c r="C47" s="4"/>
      <c r="D47" s="52"/>
      <c r="E47" s="53"/>
      <c r="F47" s="54" t="s">
        <v>13</v>
      </c>
      <c r="G47" s="76">
        <v>3</v>
      </c>
      <c r="H47" s="32">
        <f aca="true" t="shared" si="0" ref="H47:H49">G47/SUM($G$46:$G$49)</f>
        <v>0.13531799729364005</v>
      </c>
      <c r="I47" s="28"/>
      <c r="J47" s="76">
        <v>3</v>
      </c>
      <c r="K47" s="32">
        <f aca="true" t="shared" si="1" ref="K47:K49">J47/SUM($J$46:$J$49)</f>
        <v>0.12870012870012867</v>
      </c>
      <c r="L47" s="28"/>
      <c r="M47" s="76">
        <v>3</v>
      </c>
      <c r="N47" s="36">
        <f aca="true" t="shared" si="2" ref="N47:N49">M47/SUM($M$46:$M$49)</f>
        <v>0.14708723689543513</v>
      </c>
      <c r="O47" s="14"/>
      <c r="P47" s="55" t="s">
        <v>84</v>
      </c>
      <c r="Q47" s="51"/>
      <c r="R47" s="55"/>
      <c r="S47" s="55"/>
      <c r="T47" s="55"/>
      <c r="U47" s="55"/>
      <c r="V47" s="55"/>
    </row>
    <row r="48" spans="1:22" ht="11.25">
      <c r="A48" s="20"/>
      <c r="B48" s="4"/>
      <c r="C48" s="4"/>
      <c r="D48" s="52"/>
      <c r="E48" s="53"/>
      <c r="F48" s="54" t="s">
        <v>51</v>
      </c>
      <c r="G48" s="76">
        <v>1.17</v>
      </c>
      <c r="H48" s="32">
        <f t="shared" si="0"/>
        <v>0.052774018944519614</v>
      </c>
      <c r="I48" s="28"/>
      <c r="J48" s="76">
        <v>0.23</v>
      </c>
      <c r="K48" s="32">
        <f t="shared" si="1"/>
        <v>0.009867009867009866</v>
      </c>
      <c r="L48" s="28"/>
      <c r="M48" s="77">
        <f>13367/750/45</f>
        <v>0.3960592592592593</v>
      </c>
      <c r="N48" s="36">
        <f t="shared" si="2"/>
        <v>0.019418420697099075</v>
      </c>
      <c r="O48" s="14"/>
      <c r="P48" s="55" t="s">
        <v>85</v>
      </c>
      <c r="Q48" s="51"/>
      <c r="R48" s="55"/>
      <c r="S48" s="55"/>
      <c r="T48" s="55"/>
      <c r="U48" s="55"/>
      <c r="V48" s="55"/>
    </row>
    <row r="49" spans="1:22" ht="11.25">
      <c r="A49" s="20"/>
      <c r="B49" s="4"/>
      <c r="C49" s="4"/>
      <c r="D49" s="52"/>
      <c r="E49" s="53"/>
      <c r="F49" s="54" t="s">
        <v>52</v>
      </c>
      <c r="G49" s="76">
        <v>0</v>
      </c>
      <c r="H49" s="32">
        <f t="shared" si="0"/>
        <v>0</v>
      </c>
      <c r="I49" s="28"/>
      <c r="J49" s="76">
        <v>3.08</v>
      </c>
      <c r="K49" s="32">
        <f t="shared" si="1"/>
        <v>0.13213213213213212</v>
      </c>
      <c r="L49" s="28"/>
      <c r="M49" s="76">
        <v>0</v>
      </c>
      <c r="N49" s="36">
        <f t="shared" si="2"/>
        <v>0</v>
      </c>
      <c r="O49" s="14"/>
      <c r="P49" s="55" t="s">
        <v>85</v>
      </c>
      <c r="Q49" s="51"/>
      <c r="R49" s="55"/>
      <c r="S49" s="55"/>
      <c r="T49" s="55"/>
      <c r="U49" s="55"/>
      <c r="V49" s="55"/>
    </row>
    <row r="50" spans="1:14" ht="11.25">
      <c r="A50" s="21" t="s">
        <v>4</v>
      </c>
      <c r="B50" s="22"/>
      <c r="C50" s="4"/>
      <c r="D50" s="4"/>
      <c r="E50" s="3"/>
      <c r="F50" s="3"/>
      <c r="G50" s="8"/>
      <c r="H50" s="8"/>
      <c r="I50" s="3"/>
      <c r="J50" s="8"/>
      <c r="K50" s="8"/>
      <c r="L50" s="3"/>
      <c r="M50" s="8"/>
      <c r="N50" s="25"/>
    </row>
    <row r="51" spans="1:16" ht="11.25">
      <c r="A51" s="21"/>
      <c r="B51" s="22"/>
      <c r="C51" s="4"/>
      <c r="D51" s="4"/>
      <c r="E51" s="3"/>
      <c r="F51" s="63" t="s">
        <v>77</v>
      </c>
      <c r="G51" s="293">
        <v>0.918</v>
      </c>
      <c r="H51" s="294"/>
      <c r="I51" s="72"/>
      <c r="J51" s="293">
        <v>0.916</v>
      </c>
      <c r="K51" s="294"/>
      <c r="L51" s="72"/>
      <c r="M51" s="293">
        <v>0.912</v>
      </c>
      <c r="N51" s="295"/>
      <c r="P51" s="10" t="s">
        <v>87</v>
      </c>
    </row>
    <row r="52" spans="1:16" ht="11.25">
      <c r="A52" s="21"/>
      <c r="B52" s="22"/>
      <c r="C52" s="4"/>
      <c r="D52" s="4"/>
      <c r="E52" s="3"/>
      <c r="F52" s="63" t="s">
        <v>76</v>
      </c>
      <c r="G52" s="293">
        <v>0.136</v>
      </c>
      <c r="H52" s="294"/>
      <c r="I52" s="72"/>
      <c r="J52" s="293">
        <v>0.126</v>
      </c>
      <c r="K52" s="294"/>
      <c r="L52" s="72"/>
      <c r="M52" s="293">
        <v>0.118</v>
      </c>
      <c r="N52" s="295"/>
      <c r="P52" s="10" t="s">
        <v>79</v>
      </c>
    </row>
    <row r="53" spans="1:16" ht="11" customHeight="1">
      <c r="A53" s="20"/>
      <c r="B53" s="23"/>
      <c r="C53" s="4"/>
      <c r="D53" s="4"/>
      <c r="E53" s="3"/>
      <c r="F53" s="29" t="s">
        <v>10</v>
      </c>
      <c r="G53" s="296">
        <v>15</v>
      </c>
      <c r="H53" s="297"/>
      <c r="I53" s="3"/>
      <c r="J53" s="296">
        <v>21</v>
      </c>
      <c r="K53" s="297"/>
      <c r="L53" s="3"/>
      <c r="M53" s="296">
        <v>12</v>
      </c>
      <c r="N53" s="298"/>
      <c r="P53" s="10" t="s">
        <v>34</v>
      </c>
    </row>
    <row r="54" spans="1:16" ht="11.25">
      <c r="A54" s="20"/>
      <c r="B54" s="23"/>
      <c r="C54" s="4"/>
      <c r="D54" s="4"/>
      <c r="E54" s="3"/>
      <c r="F54" s="29" t="s">
        <v>8</v>
      </c>
      <c r="G54" s="296">
        <v>23</v>
      </c>
      <c r="H54" s="297"/>
      <c r="I54" s="14"/>
      <c r="J54" s="296">
        <v>23</v>
      </c>
      <c r="K54" s="297"/>
      <c r="L54" s="14"/>
      <c r="M54" s="296">
        <v>23</v>
      </c>
      <c r="N54" s="298"/>
      <c r="P54" s="10" t="s">
        <v>36</v>
      </c>
    </row>
    <row r="55" spans="1:16" ht="11.25">
      <c r="A55" s="20"/>
      <c r="B55" s="23"/>
      <c r="C55" s="4"/>
      <c r="D55" s="4"/>
      <c r="E55" s="3"/>
      <c r="F55" s="42" t="s">
        <v>11</v>
      </c>
      <c r="G55" s="296">
        <v>22.1</v>
      </c>
      <c r="H55" s="297"/>
      <c r="I55" s="3"/>
      <c r="J55" s="296">
        <v>22.8</v>
      </c>
      <c r="K55" s="297"/>
      <c r="L55" s="3"/>
      <c r="M55" s="296">
        <v>22.4</v>
      </c>
      <c r="N55" s="298"/>
      <c r="P55" s="10" t="s">
        <v>42</v>
      </c>
    </row>
    <row r="56" spans="1:19" ht="11.25">
      <c r="A56" s="20"/>
      <c r="B56" s="22"/>
      <c r="C56" s="4"/>
      <c r="D56" s="4"/>
      <c r="E56" s="3"/>
      <c r="F56" s="29" t="s">
        <v>9</v>
      </c>
      <c r="G56" s="293">
        <v>0.92</v>
      </c>
      <c r="H56" s="294"/>
      <c r="I56" s="3"/>
      <c r="J56" s="293">
        <v>0.92</v>
      </c>
      <c r="K56" s="294"/>
      <c r="L56" s="3"/>
      <c r="M56" s="293">
        <v>0.92</v>
      </c>
      <c r="N56" s="295"/>
      <c r="P56" s="10" t="s">
        <v>37</v>
      </c>
      <c r="Q56"/>
      <c r="R56"/>
      <c r="S56"/>
    </row>
    <row r="57" spans="1:19" ht="11.25">
      <c r="A57" s="20"/>
      <c r="B57" s="22"/>
      <c r="C57" s="4"/>
      <c r="D57" s="4"/>
      <c r="E57" s="27"/>
      <c r="F57" s="29" t="s">
        <v>12</v>
      </c>
      <c r="G57" s="296">
        <v>3</v>
      </c>
      <c r="H57" s="297"/>
      <c r="I57" s="28"/>
      <c r="J57" s="296">
        <v>3</v>
      </c>
      <c r="K57" s="297"/>
      <c r="L57" s="28"/>
      <c r="M57" s="296">
        <v>7</v>
      </c>
      <c r="N57" s="298"/>
      <c r="P57" s="10" t="s">
        <v>38</v>
      </c>
      <c r="Q57"/>
      <c r="R57"/>
      <c r="S57"/>
    </row>
    <row r="58" spans="1:19" ht="11.25">
      <c r="A58" s="20"/>
      <c r="B58" s="22"/>
      <c r="C58" s="4"/>
      <c r="D58" s="4"/>
      <c r="E58" s="3"/>
      <c r="F58" s="29" t="s">
        <v>19</v>
      </c>
      <c r="G58" s="293">
        <v>0.079</v>
      </c>
      <c r="H58" s="294"/>
      <c r="I58" s="28"/>
      <c r="J58" s="293">
        <v>0.169</v>
      </c>
      <c r="K58" s="294"/>
      <c r="L58" s="28"/>
      <c r="M58" s="293">
        <v>0.132</v>
      </c>
      <c r="N58" s="295"/>
      <c r="P58" s="10" t="s">
        <v>39</v>
      </c>
      <c r="Q58"/>
      <c r="R58"/>
      <c r="S58"/>
    </row>
    <row r="59" spans="1:19" ht="11.25">
      <c r="A59" s="20"/>
      <c r="B59" s="22"/>
      <c r="C59" s="4"/>
      <c r="D59" s="4"/>
      <c r="E59" s="3"/>
      <c r="F59" s="29" t="s">
        <v>0</v>
      </c>
      <c r="G59" s="293">
        <v>-0.037</v>
      </c>
      <c r="H59" s="294"/>
      <c r="I59" s="28"/>
      <c r="J59" s="293">
        <v>0.05</v>
      </c>
      <c r="K59" s="294"/>
      <c r="L59" s="28"/>
      <c r="M59" s="293">
        <v>0.055</v>
      </c>
      <c r="N59" s="295"/>
      <c r="P59" s="10" t="s">
        <v>40</v>
      </c>
      <c r="Q59"/>
      <c r="R59"/>
      <c r="S59"/>
    </row>
    <row r="60" spans="1:14" ht="11.25">
      <c r="A60" s="21" t="s">
        <v>1</v>
      </c>
      <c r="B60" s="28"/>
      <c r="C60" s="28"/>
      <c r="D60" s="28"/>
      <c r="E60" s="28"/>
      <c r="F60" s="28"/>
      <c r="G60" s="28"/>
      <c r="H60" s="28"/>
      <c r="I60" s="28"/>
      <c r="J60" s="28"/>
      <c r="K60" s="28"/>
      <c r="L60" s="28"/>
      <c r="M60" s="28"/>
      <c r="N60" s="33"/>
    </row>
    <row r="61" spans="1:16" ht="11" customHeight="1">
      <c r="A61" s="37" t="s">
        <v>104</v>
      </c>
      <c r="B61" s="28"/>
      <c r="C61" s="28"/>
      <c r="D61" s="28"/>
      <c r="E61" s="28"/>
      <c r="F61" s="28"/>
      <c r="G61" s="28"/>
      <c r="H61" s="28"/>
      <c r="I61" s="28"/>
      <c r="J61" s="28"/>
      <c r="K61" s="28"/>
      <c r="L61" s="28"/>
      <c r="M61" s="28"/>
      <c r="N61" s="33"/>
      <c r="P61" t="s">
        <v>35</v>
      </c>
    </row>
    <row r="62" spans="1:14" ht="11.25">
      <c r="A62" s="38"/>
      <c r="B62" s="23"/>
      <c r="C62" s="23"/>
      <c r="D62" s="23"/>
      <c r="E62" s="23"/>
      <c r="F62" s="23"/>
      <c r="G62" s="23"/>
      <c r="H62" s="23"/>
      <c r="I62" s="23"/>
      <c r="J62" s="23"/>
      <c r="K62" s="23"/>
      <c r="L62" s="23"/>
      <c r="M62" s="23"/>
      <c r="N62" s="24"/>
    </row>
    <row r="63" spans="1:14" ht="11.25">
      <c r="A63" s="38"/>
      <c r="B63" s="23"/>
      <c r="C63" s="23"/>
      <c r="D63" s="23"/>
      <c r="E63" s="23"/>
      <c r="F63" s="23"/>
      <c r="G63" s="23"/>
      <c r="H63" s="23"/>
      <c r="I63" s="23"/>
      <c r="J63" s="23"/>
      <c r="K63" s="23"/>
      <c r="L63" s="23"/>
      <c r="M63" s="23"/>
      <c r="N63" s="24"/>
    </row>
    <row r="64" spans="1:16" ht="11.25">
      <c r="A64" s="38"/>
      <c r="B64" s="23"/>
      <c r="C64" s="23"/>
      <c r="D64" s="23"/>
      <c r="E64" s="23"/>
      <c r="F64" s="23"/>
      <c r="G64" s="23"/>
      <c r="H64" s="23"/>
      <c r="I64" s="23"/>
      <c r="J64" s="23"/>
      <c r="K64" s="23"/>
      <c r="L64" s="23"/>
      <c r="M64" s="23"/>
      <c r="N64" s="24"/>
      <c r="P64" s="44" t="s">
        <v>41</v>
      </c>
    </row>
    <row r="65" spans="1:14" ht="11.25">
      <c r="A65" s="38"/>
      <c r="B65" s="23"/>
      <c r="C65" s="23"/>
      <c r="D65" s="23"/>
      <c r="E65" s="23"/>
      <c r="F65" s="23"/>
      <c r="G65" s="23"/>
      <c r="H65" s="23"/>
      <c r="I65" s="23"/>
      <c r="J65" s="23"/>
      <c r="K65" s="23"/>
      <c r="L65" s="23"/>
      <c r="M65" s="23"/>
      <c r="N65" s="24"/>
    </row>
    <row r="66" spans="1:14" ht="12.75" thickBot="1">
      <c r="A66" s="39"/>
      <c r="B66" s="40"/>
      <c r="C66" s="40"/>
      <c r="D66" s="40"/>
      <c r="E66" s="40"/>
      <c r="F66" s="40"/>
      <c r="G66" s="40"/>
      <c r="H66" s="40"/>
      <c r="I66" s="40"/>
      <c r="J66" s="40"/>
      <c r="K66" s="40"/>
      <c r="L66" s="40"/>
      <c r="M66" s="40"/>
      <c r="N66" s="41"/>
    </row>
  </sheetData>
  <mergeCells count="122">
    <mergeCell ref="G5:H5"/>
    <mergeCell ref="G6:H6"/>
    <mergeCell ref="G7:H7"/>
    <mergeCell ref="G8:H8"/>
    <mergeCell ref="G9:H9"/>
    <mergeCell ref="J9:K9"/>
    <mergeCell ref="G2:N2"/>
    <mergeCell ref="G3:H3"/>
    <mergeCell ref="J3:K3"/>
    <mergeCell ref="M3:N3"/>
    <mergeCell ref="G4:H4"/>
    <mergeCell ref="J4:K4"/>
    <mergeCell ref="M4:N4"/>
    <mergeCell ref="G13:H13"/>
    <mergeCell ref="J13:K13"/>
    <mergeCell ref="M13:N13"/>
    <mergeCell ref="G14:H14"/>
    <mergeCell ref="J14:K14"/>
    <mergeCell ref="M14:N14"/>
    <mergeCell ref="M9:N9"/>
    <mergeCell ref="G11:H11"/>
    <mergeCell ref="J11:K11"/>
    <mergeCell ref="M11:N11"/>
    <mergeCell ref="G12:H12"/>
    <mergeCell ref="J12:K12"/>
    <mergeCell ref="M12:N12"/>
    <mergeCell ref="G18:H18"/>
    <mergeCell ref="J18:K18"/>
    <mergeCell ref="M18:N18"/>
    <mergeCell ref="G19:H19"/>
    <mergeCell ref="J19:K19"/>
    <mergeCell ref="M19:N19"/>
    <mergeCell ref="G15:H15"/>
    <mergeCell ref="J15:K15"/>
    <mergeCell ref="M15:N15"/>
    <mergeCell ref="G16:H16"/>
    <mergeCell ref="J16:K16"/>
    <mergeCell ref="M16:N16"/>
    <mergeCell ref="G22:H22"/>
    <mergeCell ref="J22:K22"/>
    <mergeCell ref="M22:N22"/>
    <mergeCell ref="G24:H24"/>
    <mergeCell ref="J24:K24"/>
    <mergeCell ref="M24:N24"/>
    <mergeCell ref="G20:H20"/>
    <mergeCell ref="J20:K20"/>
    <mergeCell ref="M20:N20"/>
    <mergeCell ref="G21:H21"/>
    <mergeCell ref="J21:K21"/>
    <mergeCell ref="M21:N21"/>
    <mergeCell ref="G28:H28"/>
    <mergeCell ref="J28:K28"/>
    <mergeCell ref="M28:N28"/>
    <mergeCell ref="G29:H29"/>
    <mergeCell ref="J29:K29"/>
    <mergeCell ref="M29:N29"/>
    <mergeCell ref="G25:H25"/>
    <mergeCell ref="J25:K25"/>
    <mergeCell ref="M25:N25"/>
    <mergeCell ref="G27:H27"/>
    <mergeCell ref="J27:K27"/>
    <mergeCell ref="M27:N27"/>
    <mergeCell ref="G34:H34"/>
    <mergeCell ref="J34:K34"/>
    <mergeCell ref="M34:N34"/>
    <mergeCell ref="G35:H35"/>
    <mergeCell ref="J35:K35"/>
    <mergeCell ref="M35:N35"/>
    <mergeCell ref="G31:H31"/>
    <mergeCell ref="J31:K31"/>
    <mergeCell ref="M31:N31"/>
    <mergeCell ref="G33:H33"/>
    <mergeCell ref="J33:K33"/>
    <mergeCell ref="M33:N33"/>
    <mergeCell ref="G39:H39"/>
    <mergeCell ref="J39:K39"/>
    <mergeCell ref="M39:N39"/>
    <mergeCell ref="G40:H40"/>
    <mergeCell ref="J40:K40"/>
    <mergeCell ref="M40:N40"/>
    <mergeCell ref="G36:H36"/>
    <mergeCell ref="J36:K36"/>
    <mergeCell ref="M36:N36"/>
    <mergeCell ref="G38:H38"/>
    <mergeCell ref="J38:K38"/>
    <mergeCell ref="M38:N38"/>
    <mergeCell ref="G51:H51"/>
    <mergeCell ref="J51:K51"/>
    <mergeCell ref="M51:N51"/>
    <mergeCell ref="G52:H52"/>
    <mergeCell ref="J52:K52"/>
    <mergeCell ref="M52:N52"/>
    <mergeCell ref="G41:H41"/>
    <mergeCell ref="J41:K41"/>
    <mergeCell ref="M41:N41"/>
    <mergeCell ref="G43:H43"/>
    <mergeCell ref="J43:K43"/>
    <mergeCell ref="M43:N43"/>
    <mergeCell ref="G59:H59"/>
    <mergeCell ref="J59:K59"/>
    <mergeCell ref="M59:N59"/>
    <mergeCell ref="G44:H44"/>
    <mergeCell ref="J44:K44"/>
    <mergeCell ref="M44:N44"/>
    <mergeCell ref="G57:H57"/>
    <mergeCell ref="J57:K57"/>
    <mergeCell ref="M57:N57"/>
    <mergeCell ref="G58:H58"/>
    <mergeCell ref="J58:K58"/>
    <mergeCell ref="M58:N58"/>
    <mergeCell ref="G55:H55"/>
    <mergeCell ref="J55:K55"/>
    <mergeCell ref="M55:N55"/>
    <mergeCell ref="G56:H56"/>
    <mergeCell ref="J56:K56"/>
    <mergeCell ref="M56:N56"/>
    <mergeCell ref="G53:H53"/>
    <mergeCell ref="J53:K53"/>
    <mergeCell ref="M53:N53"/>
    <mergeCell ref="G54:H54"/>
    <mergeCell ref="J54:K54"/>
    <mergeCell ref="M54:N54"/>
  </mergeCells>
  <printOptions/>
  <pageMargins left="0.25" right="0.25" top="0.75" bottom="0.75" header="0.3" footer="0.3"/>
  <pageSetup fitToHeight="1" fitToWidth="1" horizontalDpi="1200" verticalDpi="1200" orientation="portrait" scale="94" r:id="rId3"/>
  <colBreaks count="1" manualBreakCount="1">
    <brk id="14" max="16383"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V66"/>
  <sheetViews>
    <sheetView showGridLines="0" workbookViewId="0" topLeftCell="A10">
      <selection activeCell="M43" sqref="M43:N43"/>
    </sheetView>
  </sheetViews>
  <sheetFormatPr defaultColWidth="9.00390625" defaultRowHeight="11.25"/>
  <cols>
    <col min="1" max="1" width="4.625" style="1" customWidth="1"/>
    <col min="2" max="5" width="9.00390625" style="1" customWidth="1"/>
    <col min="6" max="6" width="7.125" style="1" customWidth="1"/>
    <col min="7" max="8" width="9.125" style="1" customWidth="1"/>
    <col min="9" max="9" width="1.75390625" style="1" customWidth="1"/>
    <col min="10" max="11" width="9.125" style="1" customWidth="1"/>
    <col min="12" max="12" width="1.75390625" style="1" customWidth="1"/>
    <col min="13" max="14" width="9.125" style="1" customWidth="1"/>
    <col min="15" max="15" width="3.75390625" style="10" customWidth="1"/>
    <col min="16" max="16384" width="9.00390625" style="10" customWidth="1"/>
  </cols>
  <sheetData>
    <row r="1" spans="1:14" s="12" customFormat="1" ht="11.25">
      <c r="A1" s="17" t="s">
        <v>88</v>
      </c>
      <c r="B1" s="18"/>
      <c r="C1" s="18"/>
      <c r="D1" s="18"/>
      <c r="E1" s="18"/>
      <c r="F1" s="18"/>
      <c r="G1" s="18"/>
      <c r="H1" s="18"/>
      <c r="I1" s="18"/>
      <c r="J1" s="18"/>
      <c r="K1" s="18"/>
      <c r="L1" s="18"/>
      <c r="M1" s="18"/>
      <c r="N1" s="19"/>
    </row>
    <row r="2" spans="1:16" s="12" customFormat="1" ht="11.25">
      <c r="A2" s="20" t="s">
        <v>89</v>
      </c>
      <c r="B2" s="15"/>
      <c r="C2" s="15"/>
      <c r="D2" s="15"/>
      <c r="E2" s="15"/>
      <c r="F2" s="15"/>
      <c r="G2" s="328" t="s">
        <v>26</v>
      </c>
      <c r="H2" s="328"/>
      <c r="I2" s="328"/>
      <c r="J2" s="328"/>
      <c r="K2" s="328"/>
      <c r="L2" s="328"/>
      <c r="M2" s="328"/>
      <c r="N2" s="329"/>
      <c r="P2" s="43" t="s">
        <v>27</v>
      </c>
    </row>
    <row r="3" spans="1:14" ht="11.25">
      <c r="A3" s="45"/>
      <c r="B3" s="2"/>
      <c r="C3" s="2"/>
      <c r="D3" s="2"/>
      <c r="E3" s="2"/>
      <c r="F3" s="16" t="s">
        <v>14</v>
      </c>
      <c r="G3" s="330">
        <v>19</v>
      </c>
      <c r="H3" s="327"/>
      <c r="I3" s="2"/>
      <c r="J3" s="330">
        <v>18</v>
      </c>
      <c r="K3" s="327"/>
      <c r="L3" s="2"/>
      <c r="M3" s="330">
        <v>17</v>
      </c>
      <c r="N3" s="331"/>
    </row>
    <row r="4" spans="1:14" ht="11.25">
      <c r="A4" s="20"/>
      <c r="B4" s="2"/>
      <c r="C4" s="2"/>
      <c r="D4" s="2"/>
      <c r="E4" s="2"/>
      <c r="F4" s="16" t="s">
        <v>15</v>
      </c>
      <c r="G4" s="330" t="s">
        <v>80</v>
      </c>
      <c r="H4" s="327"/>
      <c r="I4" s="2"/>
      <c r="J4" s="330" t="s">
        <v>81</v>
      </c>
      <c r="K4" s="327"/>
      <c r="L4" s="2"/>
      <c r="M4" s="330" t="s">
        <v>82</v>
      </c>
      <c r="N4" s="331"/>
    </row>
    <row r="5" spans="1:14" ht="11.25">
      <c r="A5" s="20"/>
      <c r="B5" s="2"/>
      <c r="C5" s="2"/>
      <c r="D5" s="2"/>
      <c r="E5" s="2"/>
      <c r="F5" s="16" t="s">
        <v>16</v>
      </c>
      <c r="G5" s="321" t="s">
        <v>102</v>
      </c>
      <c r="H5" s="322"/>
      <c r="I5" s="2"/>
      <c r="J5" s="28"/>
      <c r="K5" s="28"/>
      <c r="L5" s="28"/>
      <c r="M5" s="28"/>
      <c r="N5" s="33"/>
    </row>
    <row r="6" spans="1:14" ht="11.25">
      <c r="A6" s="20"/>
      <c r="B6" s="2"/>
      <c r="C6" s="2"/>
      <c r="D6" s="2"/>
      <c r="E6" s="2"/>
      <c r="F6" s="16" t="s">
        <v>17</v>
      </c>
      <c r="G6" s="323" t="s">
        <v>105</v>
      </c>
      <c r="H6" s="323"/>
      <c r="I6" s="2"/>
      <c r="J6" s="28"/>
      <c r="K6" s="28"/>
      <c r="L6" s="28"/>
      <c r="M6" s="28"/>
      <c r="N6" s="33"/>
    </row>
    <row r="7" spans="1:14" ht="11.25">
      <c r="A7" s="20"/>
      <c r="B7" s="2"/>
      <c r="C7" s="2"/>
      <c r="D7" s="2"/>
      <c r="E7" s="2"/>
      <c r="F7" s="16" t="s">
        <v>33</v>
      </c>
      <c r="G7" s="324" t="s">
        <v>97</v>
      </c>
      <c r="H7" s="325"/>
      <c r="I7" s="2"/>
      <c r="J7" s="28"/>
      <c r="K7" s="28"/>
      <c r="L7" s="28"/>
      <c r="M7" s="28"/>
      <c r="N7" s="33"/>
    </row>
    <row r="8" spans="1:14" ht="11.25">
      <c r="A8" s="20"/>
      <c r="B8" s="2"/>
      <c r="C8" s="2"/>
      <c r="D8" s="2"/>
      <c r="E8" s="2"/>
      <c r="F8" s="16" t="s">
        <v>18</v>
      </c>
      <c r="G8" s="326">
        <v>43921</v>
      </c>
      <c r="H8" s="327"/>
      <c r="I8" s="2"/>
      <c r="J8" s="28"/>
      <c r="K8" s="28"/>
      <c r="L8" s="28"/>
      <c r="M8" s="28"/>
      <c r="N8" s="33"/>
    </row>
    <row r="9" spans="1:14" ht="12.75">
      <c r="A9" s="21" t="s">
        <v>2</v>
      </c>
      <c r="B9" s="22"/>
      <c r="C9" s="4"/>
      <c r="D9" s="4"/>
      <c r="E9" s="3"/>
      <c r="F9" s="3"/>
      <c r="G9" s="319"/>
      <c r="H9" s="319"/>
      <c r="I9" s="3"/>
      <c r="J9" s="319"/>
      <c r="K9" s="319"/>
      <c r="L9" s="3"/>
      <c r="M9" s="319"/>
      <c r="N9" s="320"/>
    </row>
    <row r="10" spans="1:15" ht="12.75">
      <c r="A10" s="20"/>
      <c r="B10" s="22" t="s">
        <v>56</v>
      </c>
      <c r="C10" s="4"/>
      <c r="D10" s="4"/>
      <c r="E10" s="3"/>
      <c r="F10" s="29"/>
      <c r="G10" s="58"/>
      <c r="H10" s="58"/>
      <c r="I10" s="5"/>
      <c r="J10" s="58"/>
      <c r="K10" s="58"/>
      <c r="L10" s="5"/>
      <c r="M10" s="58"/>
      <c r="N10" s="59"/>
      <c r="O10" s="11"/>
    </row>
    <row r="11" spans="1:16" ht="11.25">
      <c r="A11" s="20"/>
      <c r="B11" s="22"/>
      <c r="C11" s="6"/>
      <c r="D11" s="6"/>
      <c r="E11" s="7"/>
      <c r="F11" s="30" t="s">
        <v>7</v>
      </c>
      <c r="G11" s="313">
        <v>17338</v>
      </c>
      <c r="H11" s="314"/>
      <c r="I11" s="5"/>
      <c r="J11" s="313">
        <v>17574</v>
      </c>
      <c r="K11" s="314"/>
      <c r="L11" s="5"/>
      <c r="M11" s="313">
        <v>17210</v>
      </c>
      <c r="N11" s="315"/>
      <c r="P11" s="10" t="s">
        <v>28</v>
      </c>
    </row>
    <row r="12" spans="1:16" ht="12.75">
      <c r="A12" s="20"/>
      <c r="B12" s="22"/>
      <c r="C12" s="4"/>
      <c r="D12" s="4"/>
      <c r="E12" s="3"/>
      <c r="F12" s="29" t="s">
        <v>5</v>
      </c>
      <c r="G12" s="316">
        <v>0.004</v>
      </c>
      <c r="H12" s="317"/>
      <c r="I12" s="5"/>
      <c r="J12" s="316">
        <v>-0.005</v>
      </c>
      <c r="K12" s="317"/>
      <c r="L12" s="5"/>
      <c r="M12" s="316">
        <v>-0.016</v>
      </c>
      <c r="N12" s="318"/>
      <c r="O12" s="11"/>
      <c r="P12" s="10" t="s">
        <v>29</v>
      </c>
    </row>
    <row r="13" spans="1:16" ht="12.75">
      <c r="A13" s="20"/>
      <c r="B13" s="22"/>
      <c r="C13" s="4"/>
      <c r="D13" s="4"/>
      <c r="E13" s="3"/>
      <c r="F13" s="29" t="s">
        <v>53</v>
      </c>
      <c r="G13" s="313">
        <v>3</v>
      </c>
      <c r="H13" s="314"/>
      <c r="I13" s="5"/>
      <c r="J13" s="313">
        <v>3</v>
      </c>
      <c r="K13" s="314"/>
      <c r="L13" s="5"/>
      <c r="M13" s="313">
        <v>3</v>
      </c>
      <c r="N13" s="315"/>
      <c r="O13" s="11"/>
      <c r="P13" s="10" t="s">
        <v>71</v>
      </c>
    </row>
    <row r="14" spans="1:16" ht="12.75">
      <c r="A14" s="20"/>
      <c r="B14" s="22"/>
      <c r="C14" s="4"/>
      <c r="D14" s="4"/>
      <c r="E14" s="3"/>
      <c r="F14" s="29" t="s">
        <v>54</v>
      </c>
      <c r="G14" s="313">
        <f>3+5+57+1</f>
        <v>66</v>
      </c>
      <c r="H14" s="314"/>
      <c r="I14" s="5"/>
      <c r="J14" s="313">
        <f>2+6+61</f>
        <v>69</v>
      </c>
      <c r="K14" s="314"/>
      <c r="L14" s="5"/>
      <c r="M14" s="313">
        <f>2+4+53</f>
        <v>59</v>
      </c>
      <c r="N14" s="315"/>
      <c r="O14" s="11"/>
      <c r="P14" s="10" t="s">
        <v>70</v>
      </c>
    </row>
    <row r="15" spans="1:16" ht="12.75">
      <c r="A15" s="20"/>
      <c r="B15" s="22"/>
      <c r="C15" s="4"/>
      <c r="D15" s="4"/>
      <c r="E15" s="3"/>
      <c r="F15" s="29" t="s">
        <v>55</v>
      </c>
      <c r="G15" s="313">
        <v>158</v>
      </c>
      <c r="H15" s="314"/>
      <c r="I15" s="5"/>
      <c r="J15" s="313">
        <f>197-6-11-3</f>
        <v>177</v>
      </c>
      <c r="K15" s="314"/>
      <c r="L15" s="5"/>
      <c r="M15" s="313">
        <v>158</v>
      </c>
      <c r="N15" s="315"/>
      <c r="O15" s="11"/>
      <c r="P15" s="10" t="s">
        <v>69</v>
      </c>
    </row>
    <row r="16" spans="1:16" ht="12.75">
      <c r="A16" s="20"/>
      <c r="B16" s="22"/>
      <c r="C16" s="4"/>
      <c r="D16" s="4"/>
      <c r="E16" s="3"/>
      <c r="F16" s="29" t="s">
        <v>78</v>
      </c>
      <c r="G16" s="313">
        <v>19</v>
      </c>
      <c r="H16" s="314"/>
      <c r="I16" s="5"/>
      <c r="J16" s="313">
        <v>15</v>
      </c>
      <c r="K16" s="314"/>
      <c r="L16" s="5"/>
      <c r="M16" s="313">
        <v>15</v>
      </c>
      <c r="N16" s="315"/>
      <c r="O16" s="11"/>
      <c r="P16" s="10" t="s">
        <v>86</v>
      </c>
    </row>
    <row r="17" spans="1:15" ht="12.75">
      <c r="A17" s="20"/>
      <c r="B17" s="22" t="s">
        <v>57</v>
      </c>
      <c r="C17" s="4"/>
      <c r="D17" s="4"/>
      <c r="E17" s="3"/>
      <c r="F17" s="29"/>
      <c r="G17" s="58"/>
      <c r="H17" s="58"/>
      <c r="I17" s="5"/>
      <c r="J17" s="58"/>
      <c r="K17" s="58"/>
      <c r="L17" s="5"/>
      <c r="M17" s="58"/>
      <c r="N17" s="59"/>
      <c r="O17" s="11"/>
    </row>
    <row r="18" spans="1:16" ht="11.25">
      <c r="A18" s="20"/>
      <c r="B18" s="22"/>
      <c r="C18" s="6"/>
      <c r="D18" s="6"/>
      <c r="E18" s="7"/>
      <c r="F18" s="30" t="s">
        <v>7</v>
      </c>
      <c r="G18" s="313"/>
      <c r="H18" s="314"/>
      <c r="I18" s="5"/>
      <c r="J18" s="313"/>
      <c r="K18" s="314"/>
      <c r="L18" s="5"/>
      <c r="M18" s="313"/>
      <c r="N18" s="315"/>
      <c r="P18" s="10" t="s">
        <v>28</v>
      </c>
    </row>
    <row r="19" spans="1:16" ht="12.75">
      <c r="A19" s="20"/>
      <c r="B19" s="22"/>
      <c r="C19" s="4"/>
      <c r="D19" s="4"/>
      <c r="E19" s="3"/>
      <c r="F19" s="29" t="s">
        <v>5</v>
      </c>
      <c r="G19" s="316"/>
      <c r="H19" s="317"/>
      <c r="I19" s="5"/>
      <c r="J19" s="316"/>
      <c r="K19" s="317"/>
      <c r="L19" s="5"/>
      <c r="M19" s="316"/>
      <c r="N19" s="318"/>
      <c r="O19" s="11"/>
      <c r="P19" s="10" t="s">
        <v>29</v>
      </c>
    </row>
    <row r="20" spans="1:16" ht="12.75">
      <c r="A20" s="20"/>
      <c r="B20" s="22"/>
      <c r="C20" s="4"/>
      <c r="D20" s="4"/>
      <c r="E20" s="3"/>
      <c r="F20" s="29" t="s">
        <v>58</v>
      </c>
      <c r="G20" s="313"/>
      <c r="H20" s="314"/>
      <c r="I20" s="5"/>
      <c r="J20" s="313"/>
      <c r="K20" s="314"/>
      <c r="L20" s="5"/>
      <c r="M20" s="313"/>
      <c r="N20" s="315"/>
      <c r="O20" s="11"/>
      <c r="P20" s="10" t="s">
        <v>71</v>
      </c>
    </row>
    <row r="21" spans="1:16" ht="12.75">
      <c r="A21" s="20"/>
      <c r="B21" s="22"/>
      <c r="C21" s="4"/>
      <c r="D21" s="4"/>
      <c r="E21" s="3"/>
      <c r="F21" s="29" t="s">
        <v>59</v>
      </c>
      <c r="G21" s="313"/>
      <c r="H21" s="314"/>
      <c r="I21" s="5"/>
      <c r="J21" s="313"/>
      <c r="K21" s="314"/>
      <c r="L21" s="5"/>
      <c r="M21" s="313"/>
      <c r="N21" s="315"/>
      <c r="O21" s="11"/>
      <c r="P21" s="10" t="s">
        <v>83</v>
      </c>
    </row>
    <row r="22" spans="1:16" ht="12.75">
      <c r="A22" s="20"/>
      <c r="B22" s="22"/>
      <c r="C22" s="4"/>
      <c r="D22" s="4"/>
      <c r="E22" s="3"/>
      <c r="F22" s="29" t="s">
        <v>78</v>
      </c>
      <c r="G22" s="313"/>
      <c r="H22" s="314"/>
      <c r="I22" s="5"/>
      <c r="J22" s="313"/>
      <c r="K22" s="314"/>
      <c r="L22" s="5"/>
      <c r="M22" s="313"/>
      <c r="N22" s="315"/>
      <c r="O22" s="11"/>
      <c r="P22" s="10" t="s">
        <v>86</v>
      </c>
    </row>
    <row r="23" spans="1:14" ht="11.25">
      <c r="A23" s="20"/>
      <c r="B23" s="4" t="s">
        <v>6</v>
      </c>
      <c r="C23" s="4"/>
      <c r="D23" s="4"/>
      <c r="E23" s="3"/>
      <c r="F23" s="3"/>
      <c r="G23" s="23"/>
      <c r="H23" s="23"/>
      <c r="I23" s="5"/>
      <c r="J23" s="23"/>
      <c r="K23" s="23"/>
      <c r="L23" s="5"/>
      <c r="M23" s="23"/>
      <c r="N23" s="24"/>
    </row>
    <row r="24" spans="1:16" ht="11.25">
      <c r="A24" s="20"/>
      <c r="B24" s="22"/>
      <c r="C24" s="4"/>
      <c r="D24" s="4"/>
      <c r="E24" s="3"/>
      <c r="F24" s="29" t="s">
        <v>20</v>
      </c>
      <c r="G24" s="293">
        <v>0.116</v>
      </c>
      <c r="H24" s="294"/>
      <c r="I24" s="3"/>
      <c r="J24" s="293">
        <v>0.116</v>
      </c>
      <c r="K24" s="294"/>
      <c r="L24" s="3"/>
      <c r="M24" s="293">
        <v>0.122</v>
      </c>
      <c r="N24" s="295"/>
      <c r="P24" s="10" t="s">
        <v>30</v>
      </c>
    </row>
    <row r="25" spans="1:16" ht="11.25">
      <c r="A25" s="20"/>
      <c r="B25" s="22"/>
      <c r="C25" s="4"/>
      <c r="D25" s="4"/>
      <c r="E25" s="3"/>
      <c r="F25" s="29" t="s">
        <v>21</v>
      </c>
      <c r="G25" s="293">
        <v>0.884</v>
      </c>
      <c r="H25" s="294"/>
      <c r="I25" s="3"/>
      <c r="J25" s="293">
        <v>0.884</v>
      </c>
      <c r="K25" s="294"/>
      <c r="L25" s="3"/>
      <c r="M25" s="293">
        <v>0.878</v>
      </c>
      <c r="N25" s="295"/>
      <c r="P25" s="10" t="s">
        <v>31</v>
      </c>
    </row>
    <row r="26" spans="1:14" ht="11.25">
      <c r="A26" s="62" t="s">
        <v>60</v>
      </c>
      <c r="B26" s="22"/>
      <c r="C26" s="4"/>
      <c r="D26" s="4"/>
      <c r="E26" s="3"/>
      <c r="F26" s="29"/>
      <c r="G26" s="60"/>
      <c r="H26" s="60"/>
      <c r="I26" s="5"/>
      <c r="J26" s="60"/>
      <c r="K26" s="60"/>
      <c r="L26" s="5"/>
      <c r="M26" s="60"/>
      <c r="N26" s="61"/>
    </row>
    <row r="27" spans="1:16" ht="11.25">
      <c r="A27" s="20"/>
      <c r="B27" s="22"/>
      <c r="C27" s="4"/>
      <c r="D27" s="4"/>
      <c r="E27" s="3"/>
      <c r="F27" s="29" t="s">
        <v>61</v>
      </c>
      <c r="G27" s="313">
        <f>1698601.22-G28</f>
        <v>1562802.72</v>
      </c>
      <c r="H27" s="314"/>
      <c r="I27" s="5"/>
      <c r="J27" s="313">
        <f>1602641.24-J28</f>
        <v>1468295.83</v>
      </c>
      <c r="K27" s="314"/>
      <c r="L27" s="5"/>
      <c r="M27" s="313">
        <f>1470047.85-M28</f>
        <v>1339065.55</v>
      </c>
      <c r="N27" s="315"/>
      <c r="P27" s="10" t="s">
        <v>91</v>
      </c>
    </row>
    <row r="28" spans="1:16" ht="11.25">
      <c r="A28" s="20"/>
      <c r="B28" s="22"/>
      <c r="C28" s="4"/>
      <c r="D28" s="4"/>
      <c r="E28" s="3"/>
      <c r="F28" s="29" t="s">
        <v>62</v>
      </c>
      <c r="G28" s="313">
        <v>135798.5</v>
      </c>
      <c r="H28" s="314"/>
      <c r="I28" s="5"/>
      <c r="J28" s="313">
        <v>134345.41</v>
      </c>
      <c r="K28" s="314"/>
      <c r="L28" s="5"/>
      <c r="M28" s="313">
        <v>130982.3</v>
      </c>
      <c r="N28" s="315"/>
      <c r="P28" s="10" t="s">
        <v>91</v>
      </c>
    </row>
    <row r="29" spans="1:16" ht="11.25">
      <c r="A29" s="20"/>
      <c r="B29" s="22"/>
      <c r="C29" s="4"/>
      <c r="D29" s="4"/>
      <c r="E29" s="3"/>
      <c r="F29" s="29" t="s">
        <v>63</v>
      </c>
      <c r="G29" s="310">
        <v>468144.89</v>
      </c>
      <c r="H29" s="311"/>
      <c r="I29" s="5"/>
      <c r="J29" s="310">
        <v>462188.77</v>
      </c>
      <c r="K29" s="311"/>
      <c r="L29" s="5"/>
      <c r="M29" s="310">
        <v>443780.8</v>
      </c>
      <c r="N29" s="312"/>
      <c r="P29" s="10" t="s">
        <v>90</v>
      </c>
    </row>
    <row r="30" spans="1:14" ht="11.25">
      <c r="A30" s="20"/>
      <c r="B30" s="22"/>
      <c r="C30" s="4"/>
      <c r="D30" s="4"/>
      <c r="E30" s="3"/>
      <c r="F30" s="29"/>
      <c r="G30" s="73"/>
      <c r="H30" s="74"/>
      <c r="I30" s="5"/>
      <c r="J30" s="73"/>
      <c r="K30" s="74"/>
      <c r="L30" s="5"/>
      <c r="M30" s="73"/>
      <c r="N30" s="75"/>
    </row>
    <row r="31" spans="1:18" ht="11.25">
      <c r="A31" s="20"/>
      <c r="B31" s="4"/>
      <c r="C31" s="4"/>
      <c r="D31" s="4"/>
      <c r="E31" s="3"/>
      <c r="F31" s="63" t="s">
        <v>64</v>
      </c>
      <c r="G31" s="299">
        <f>SUM(G27:H29)/(G11+G18)</f>
        <v>124.97093724766408</v>
      </c>
      <c r="H31" s="300"/>
      <c r="I31" s="22"/>
      <c r="J31" s="299">
        <f>SUM(J27:K29)/(J11+J18)</f>
        <v>117.49345681119836</v>
      </c>
      <c r="K31" s="300"/>
      <c r="L31" s="22"/>
      <c r="M31" s="299">
        <f>SUM(M27:N29)/(M11+M18)</f>
        <v>111.20445380592679</v>
      </c>
      <c r="N31" s="301"/>
      <c r="O31"/>
      <c r="P31" t="s">
        <v>32</v>
      </c>
      <c r="Q31"/>
      <c r="R31"/>
    </row>
    <row r="32" spans="1:14" ht="11.25">
      <c r="A32" s="21" t="s">
        <v>3</v>
      </c>
      <c r="B32" s="22"/>
      <c r="C32" s="4"/>
      <c r="D32" s="4"/>
      <c r="E32" s="3"/>
      <c r="F32" s="3"/>
      <c r="G32" s="8"/>
      <c r="H32" s="8"/>
      <c r="I32" s="3"/>
      <c r="J32" s="8"/>
      <c r="K32" s="8"/>
      <c r="L32" s="3"/>
      <c r="M32" s="8"/>
      <c r="N32" s="25"/>
    </row>
    <row r="33" spans="1:22" ht="11.25">
      <c r="A33" s="20"/>
      <c r="B33" s="22"/>
      <c r="C33" s="4"/>
      <c r="D33" s="48"/>
      <c r="E33" s="49"/>
      <c r="F33" s="50" t="s">
        <v>43</v>
      </c>
      <c r="G33" s="302">
        <f>6.3+0.8</f>
        <v>7.1</v>
      </c>
      <c r="H33" s="303"/>
      <c r="I33" s="56"/>
      <c r="J33" s="302">
        <f>5.4+1.5</f>
        <v>6.9</v>
      </c>
      <c r="K33" s="303"/>
      <c r="L33" s="56"/>
      <c r="M33" s="302">
        <f>5.6+1.5</f>
        <v>7.1</v>
      </c>
      <c r="N33" s="304"/>
      <c r="O33"/>
      <c r="P33" s="46" t="s">
        <v>47</v>
      </c>
      <c r="Q33" s="47"/>
      <c r="R33" s="47"/>
      <c r="S33" s="46"/>
      <c r="T33" s="46"/>
      <c r="U33" s="46"/>
      <c r="V33" s="46"/>
    </row>
    <row r="34" spans="1:22" ht="11.25">
      <c r="A34" s="20"/>
      <c r="B34" s="22"/>
      <c r="C34" s="4"/>
      <c r="D34" s="48"/>
      <c r="E34" s="49"/>
      <c r="F34" s="50" t="s">
        <v>44</v>
      </c>
      <c r="G34" s="302">
        <f>4.3/36*45</f>
        <v>5.375</v>
      </c>
      <c r="H34" s="303"/>
      <c r="I34" s="56"/>
      <c r="J34" s="302">
        <f>3.8/36*45</f>
        <v>4.75</v>
      </c>
      <c r="K34" s="303"/>
      <c r="L34" s="56"/>
      <c r="M34" s="302">
        <f>2.8/36*45</f>
        <v>3.5</v>
      </c>
      <c r="N34" s="304"/>
      <c r="O34"/>
      <c r="P34" s="46" t="s">
        <v>48</v>
      </c>
      <c r="Q34" s="47"/>
      <c r="R34" s="47"/>
      <c r="S34" s="46"/>
      <c r="T34" s="46"/>
      <c r="U34" s="46"/>
      <c r="V34" s="46"/>
    </row>
    <row r="35" spans="1:22" ht="11.25">
      <c r="A35" s="20"/>
      <c r="B35" s="22"/>
      <c r="C35" s="4"/>
      <c r="D35" s="48"/>
      <c r="E35" s="49"/>
      <c r="F35" s="50" t="s">
        <v>45</v>
      </c>
      <c r="G35" s="307">
        <f>0.4/36*45</f>
        <v>0.5</v>
      </c>
      <c r="H35" s="308"/>
      <c r="I35" s="56"/>
      <c r="J35" s="307">
        <f>0.8/36*45</f>
        <v>1</v>
      </c>
      <c r="K35" s="308"/>
      <c r="L35" s="56"/>
      <c r="M35" s="307">
        <f>1.3/36*45</f>
        <v>1.6250000000000002</v>
      </c>
      <c r="N35" s="309"/>
      <c r="O35"/>
      <c r="P35" s="46" t="s">
        <v>50</v>
      </c>
      <c r="Q35" s="47"/>
      <c r="R35" s="47"/>
      <c r="S35" s="46"/>
      <c r="T35" s="46"/>
      <c r="U35" s="46"/>
      <c r="V35" s="46"/>
    </row>
    <row r="36" spans="1:22" ht="11.25">
      <c r="A36" s="20"/>
      <c r="B36" s="22"/>
      <c r="C36" s="4"/>
      <c r="D36" s="48"/>
      <c r="E36" s="49"/>
      <c r="F36" s="50" t="s">
        <v>46</v>
      </c>
      <c r="G36" s="305">
        <v>0</v>
      </c>
      <c r="H36" s="305"/>
      <c r="I36" s="56"/>
      <c r="J36" s="305">
        <v>0</v>
      </c>
      <c r="K36" s="305"/>
      <c r="L36" s="56"/>
      <c r="M36" s="305">
        <v>0</v>
      </c>
      <c r="N36" s="306"/>
      <c r="O36"/>
      <c r="P36" s="46" t="s">
        <v>49</v>
      </c>
      <c r="Q36" s="47"/>
      <c r="R36" s="47"/>
      <c r="S36" s="46"/>
      <c r="T36" s="46"/>
      <c r="U36" s="46"/>
      <c r="V36" s="46"/>
    </row>
    <row r="37" spans="1:18" s="69" customFormat="1" ht="11.25">
      <c r="A37" s="64"/>
      <c r="B37" s="65"/>
      <c r="C37" s="66"/>
      <c r="D37" s="66"/>
      <c r="E37" s="5"/>
      <c r="F37" s="67"/>
      <c r="G37" s="70"/>
      <c r="H37" s="70"/>
      <c r="I37" s="68"/>
      <c r="J37" s="70"/>
      <c r="K37" s="70"/>
      <c r="L37" s="68"/>
      <c r="M37" s="70"/>
      <c r="N37" s="71"/>
      <c r="O37" s="12"/>
      <c r="Q37" s="12"/>
      <c r="R37" s="12"/>
    </row>
    <row r="38" spans="1:22" ht="11.25">
      <c r="A38" s="20"/>
      <c r="B38" s="22"/>
      <c r="C38" s="4"/>
      <c r="D38" s="48"/>
      <c r="E38" s="49"/>
      <c r="F38" s="50" t="s">
        <v>66</v>
      </c>
      <c r="G38" s="305">
        <f>6778+1745</f>
        <v>8523</v>
      </c>
      <c r="H38" s="305"/>
      <c r="I38" s="56"/>
      <c r="J38" s="305">
        <f>7307+2057</f>
        <v>9364</v>
      </c>
      <c r="K38" s="305"/>
      <c r="L38" s="56"/>
      <c r="M38" s="305">
        <f>6886+2960</f>
        <v>9846</v>
      </c>
      <c r="N38" s="306"/>
      <c r="O38"/>
      <c r="P38" s="46" t="s">
        <v>72</v>
      </c>
      <c r="Q38" s="47"/>
      <c r="R38" s="47"/>
      <c r="S38" s="46"/>
      <c r="T38" s="46"/>
      <c r="U38" s="46"/>
      <c r="V38" s="46"/>
    </row>
    <row r="39" spans="1:22" ht="11.25">
      <c r="A39" s="20"/>
      <c r="B39" s="22"/>
      <c r="C39" s="4"/>
      <c r="D39" s="48"/>
      <c r="E39" s="49"/>
      <c r="F39" s="50" t="s">
        <v>65</v>
      </c>
      <c r="G39" s="299">
        <v>7765</v>
      </c>
      <c r="H39" s="300"/>
      <c r="I39" s="56"/>
      <c r="J39" s="299">
        <v>6115</v>
      </c>
      <c r="K39" s="300"/>
      <c r="L39" s="56"/>
      <c r="M39" s="299">
        <v>6624</v>
      </c>
      <c r="N39" s="301"/>
      <c r="O39"/>
      <c r="P39" s="46" t="s">
        <v>73</v>
      </c>
      <c r="Q39" s="47"/>
      <c r="R39" s="47"/>
      <c r="S39" s="46"/>
      <c r="T39" s="46"/>
      <c r="U39" s="46"/>
      <c r="V39" s="46"/>
    </row>
    <row r="40" spans="1:22" ht="11.25">
      <c r="A40" s="20"/>
      <c r="B40" s="22"/>
      <c r="C40" s="4"/>
      <c r="D40" s="48"/>
      <c r="E40" s="49"/>
      <c r="F40" s="50" t="s">
        <v>67</v>
      </c>
      <c r="G40" s="302">
        <v>1195</v>
      </c>
      <c r="H40" s="303"/>
      <c r="I40" s="56"/>
      <c r="J40" s="302">
        <v>2095</v>
      </c>
      <c r="K40" s="303"/>
      <c r="L40" s="56"/>
      <c r="M40" s="302">
        <v>890</v>
      </c>
      <c r="N40" s="304"/>
      <c r="O40"/>
      <c r="P40" s="46" t="s">
        <v>75</v>
      </c>
      <c r="Q40" s="47"/>
      <c r="R40" s="47"/>
      <c r="S40" s="46"/>
      <c r="T40" s="46"/>
      <c r="U40" s="46"/>
      <c r="V40" s="46"/>
    </row>
    <row r="41" spans="1:22" ht="11.25">
      <c r="A41" s="20"/>
      <c r="B41" s="22"/>
      <c r="C41" s="4"/>
      <c r="D41" s="48"/>
      <c r="E41" s="49"/>
      <c r="F41" s="50" t="s">
        <v>68</v>
      </c>
      <c r="G41" s="302">
        <v>0</v>
      </c>
      <c r="H41" s="303"/>
      <c r="I41" s="56"/>
      <c r="J41" s="302">
        <v>0</v>
      </c>
      <c r="K41" s="303"/>
      <c r="L41" s="56"/>
      <c r="M41" s="302">
        <v>0</v>
      </c>
      <c r="N41" s="304"/>
      <c r="O41"/>
      <c r="P41" s="46" t="s">
        <v>74</v>
      </c>
      <c r="Q41" s="47"/>
      <c r="R41" s="47"/>
      <c r="S41" s="46"/>
      <c r="T41" s="46"/>
      <c r="U41" s="46"/>
      <c r="V41" s="46"/>
    </row>
    <row r="42" spans="1:18" ht="11.25">
      <c r="A42" s="20"/>
      <c r="B42" s="4"/>
      <c r="C42" s="4"/>
      <c r="D42" s="4"/>
      <c r="E42" s="3"/>
      <c r="F42" s="3"/>
      <c r="G42" s="9"/>
      <c r="H42" s="9"/>
      <c r="I42" s="22"/>
      <c r="J42" s="9"/>
      <c r="K42" s="9"/>
      <c r="L42" s="22"/>
      <c r="M42" s="9"/>
      <c r="N42" s="26"/>
      <c r="O42"/>
      <c r="P42"/>
      <c r="Q42"/>
      <c r="R42"/>
    </row>
    <row r="43" spans="1:18" ht="11.25">
      <c r="A43" s="20"/>
      <c r="B43" s="22"/>
      <c r="C43" s="4"/>
      <c r="D43" s="4"/>
      <c r="E43" s="3"/>
      <c r="F43" s="29" t="s">
        <v>22</v>
      </c>
      <c r="G43" s="302">
        <f>+(G11+G18)/(G33+G34)</f>
        <v>1389.8196392785571</v>
      </c>
      <c r="H43" s="303"/>
      <c r="I43" s="22"/>
      <c r="J43" s="302">
        <f>+(J11+J18)/(J33+J34)</f>
        <v>1508.4978540772531</v>
      </c>
      <c r="K43" s="303"/>
      <c r="L43" s="22"/>
      <c r="M43" s="302">
        <f>+(M11+M18)/(M33+M34)</f>
        <v>1623.5849056603774</v>
      </c>
      <c r="N43" s="303"/>
      <c r="O43"/>
      <c r="P43" t="s">
        <v>32</v>
      </c>
      <c r="Q43"/>
      <c r="R43"/>
    </row>
    <row r="44" spans="1:18" ht="11.25">
      <c r="A44" s="20"/>
      <c r="B44" s="22"/>
      <c r="C44" s="4"/>
      <c r="D44" s="4"/>
      <c r="E44" s="3"/>
      <c r="F44" s="29" t="s">
        <v>216</v>
      </c>
      <c r="G44" s="332">
        <f>(G11+G18)/SUM(G33:H36)</f>
        <v>1336.2620423892101</v>
      </c>
      <c r="H44" s="332"/>
      <c r="I44" s="22"/>
      <c r="J44" s="332">
        <f>(J11+J18)/SUM(J33:K36)</f>
        <v>1389.2490118577075</v>
      </c>
      <c r="K44" s="332"/>
      <c r="L44" s="22"/>
      <c r="M44" s="332">
        <f>(M11+M18)/SUM(M33:N36)</f>
        <v>1407.7709611451944</v>
      </c>
      <c r="N44" s="332"/>
      <c r="O44"/>
      <c r="P44"/>
      <c r="Q44"/>
      <c r="R44"/>
    </row>
    <row r="45" spans="1:17" ht="11.25">
      <c r="A45" s="20"/>
      <c r="B45" s="4"/>
      <c r="C45" s="4"/>
      <c r="D45" s="4"/>
      <c r="E45" s="3"/>
      <c r="F45" s="3"/>
      <c r="G45" s="34" t="s">
        <v>24</v>
      </c>
      <c r="H45" s="34" t="s">
        <v>23</v>
      </c>
      <c r="I45" s="28"/>
      <c r="J45" s="34" t="s">
        <v>24</v>
      </c>
      <c r="K45" s="34" t="s">
        <v>23</v>
      </c>
      <c r="L45" s="28"/>
      <c r="M45" s="34" t="s">
        <v>24</v>
      </c>
      <c r="N45" s="35" t="s">
        <v>23</v>
      </c>
      <c r="O45" s="14"/>
      <c r="P45" s="13"/>
      <c r="Q45" s="31"/>
    </row>
    <row r="46" spans="1:22" ht="11.25">
      <c r="A46" s="20"/>
      <c r="B46" s="4"/>
      <c r="C46" s="4"/>
      <c r="D46" s="52"/>
      <c r="E46" s="53"/>
      <c r="F46" s="54" t="s">
        <v>25</v>
      </c>
      <c r="G46" s="76">
        <v>12</v>
      </c>
      <c r="H46" s="32">
        <f>G46/SUM($G$46:$G$49)</f>
        <v>0.8468595624558928</v>
      </c>
      <c r="I46" s="28"/>
      <c r="J46" s="76">
        <v>12</v>
      </c>
      <c r="K46" s="32">
        <f>J46/SUM($J$46:$J$49)</f>
        <v>0.7792207792207793</v>
      </c>
      <c r="L46" s="28"/>
      <c r="M46" s="76">
        <v>12</v>
      </c>
      <c r="N46" s="36">
        <f>M46/SUM($M$46:$M$49)</f>
        <v>0.7792207792207793</v>
      </c>
      <c r="O46" s="14"/>
      <c r="P46" s="55" t="s">
        <v>84</v>
      </c>
      <c r="Q46" s="51"/>
      <c r="R46" s="55"/>
      <c r="S46" s="55"/>
      <c r="T46" s="55"/>
      <c r="U46" s="55"/>
      <c r="V46" s="55"/>
    </row>
    <row r="47" spans="1:22" ht="11.25">
      <c r="A47" s="20"/>
      <c r="B47" s="4"/>
      <c r="C47" s="4"/>
      <c r="D47" s="52"/>
      <c r="E47" s="53"/>
      <c r="F47" s="54" t="s">
        <v>13</v>
      </c>
      <c r="G47" s="76">
        <v>1</v>
      </c>
      <c r="H47" s="32">
        <f aca="true" t="shared" si="0" ref="H47:H49">G47/SUM($G$46:$G$49)</f>
        <v>0.07057163020465773</v>
      </c>
      <c r="I47" s="28"/>
      <c r="J47" s="76">
        <v>3</v>
      </c>
      <c r="K47" s="32">
        <f aca="true" t="shared" si="1" ref="K47:K49">J47/SUM($J$46:$J$49)</f>
        <v>0.19480519480519481</v>
      </c>
      <c r="L47" s="28"/>
      <c r="M47" s="76">
        <v>3</v>
      </c>
      <c r="N47" s="36">
        <f aca="true" t="shared" si="2" ref="N47:N49">M47/SUM($M$46:$M$49)</f>
        <v>0.19480519480519481</v>
      </c>
      <c r="O47" s="14"/>
      <c r="P47" s="55" t="s">
        <v>84</v>
      </c>
      <c r="Q47" s="51"/>
      <c r="R47" s="55"/>
      <c r="S47" s="55"/>
      <c r="T47" s="55"/>
      <c r="U47" s="55"/>
      <c r="V47" s="55"/>
    </row>
    <row r="48" spans="1:22" ht="11.25">
      <c r="A48" s="20"/>
      <c r="B48" s="4"/>
      <c r="C48" s="4"/>
      <c r="D48" s="52"/>
      <c r="E48" s="53"/>
      <c r="F48" s="54" t="s">
        <v>51</v>
      </c>
      <c r="G48" s="76">
        <v>1.17</v>
      </c>
      <c r="H48" s="32">
        <f t="shared" si="0"/>
        <v>0.08256880733944953</v>
      </c>
      <c r="I48" s="28"/>
      <c r="J48" s="76">
        <v>0.4</v>
      </c>
      <c r="K48" s="32">
        <f t="shared" si="1"/>
        <v>0.025974025974025976</v>
      </c>
      <c r="L48" s="28"/>
      <c r="M48" s="76">
        <v>0.4</v>
      </c>
      <c r="N48" s="36">
        <f t="shared" si="2"/>
        <v>0.025974025974025976</v>
      </c>
      <c r="O48" s="14"/>
      <c r="P48" s="55" t="s">
        <v>85</v>
      </c>
      <c r="Q48" s="51"/>
      <c r="R48" s="55"/>
      <c r="S48" s="55"/>
      <c r="T48" s="55"/>
      <c r="U48" s="55"/>
      <c r="V48" s="55"/>
    </row>
    <row r="49" spans="1:22" ht="11.25">
      <c r="A49" s="20"/>
      <c r="B49" s="4"/>
      <c r="C49" s="4"/>
      <c r="D49" s="52"/>
      <c r="E49" s="53"/>
      <c r="F49" s="54" t="s">
        <v>52</v>
      </c>
      <c r="G49" s="76">
        <v>0</v>
      </c>
      <c r="H49" s="32">
        <f t="shared" si="0"/>
        <v>0</v>
      </c>
      <c r="I49" s="28"/>
      <c r="J49" s="76">
        <v>0</v>
      </c>
      <c r="K49" s="32">
        <f t="shared" si="1"/>
        <v>0</v>
      </c>
      <c r="L49" s="28"/>
      <c r="M49" s="76">
        <v>0</v>
      </c>
      <c r="N49" s="36">
        <f t="shared" si="2"/>
        <v>0</v>
      </c>
      <c r="O49" s="14"/>
      <c r="P49" s="55" t="s">
        <v>85</v>
      </c>
      <c r="Q49" s="51"/>
      <c r="R49" s="55"/>
      <c r="S49" s="55"/>
      <c r="T49" s="55"/>
      <c r="U49" s="55"/>
      <c r="V49" s="55"/>
    </row>
    <row r="50" spans="1:14" ht="11.25">
      <c r="A50" s="21" t="s">
        <v>4</v>
      </c>
      <c r="B50" s="22"/>
      <c r="C50" s="4"/>
      <c r="D50" s="4"/>
      <c r="E50" s="3"/>
      <c r="F50" s="3"/>
      <c r="G50" s="8"/>
      <c r="H50" s="8"/>
      <c r="I50" s="3"/>
      <c r="J50" s="8"/>
      <c r="K50" s="8"/>
      <c r="L50" s="3"/>
      <c r="M50" s="8"/>
      <c r="N50" s="25"/>
    </row>
    <row r="51" spans="1:16" ht="11.25">
      <c r="A51" s="21"/>
      <c r="B51" s="22"/>
      <c r="C51" s="4"/>
      <c r="D51" s="4"/>
      <c r="E51" s="3"/>
      <c r="F51" s="63" t="s">
        <v>77</v>
      </c>
      <c r="G51" s="293">
        <v>0.753</v>
      </c>
      <c r="H51" s="294"/>
      <c r="I51" s="72"/>
      <c r="J51" s="293">
        <v>0.753</v>
      </c>
      <c r="K51" s="294"/>
      <c r="L51" s="72"/>
      <c r="M51" s="293">
        <v>0.725</v>
      </c>
      <c r="N51" s="295"/>
      <c r="P51" s="10" t="s">
        <v>87</v>
      </c>
    </row>
    <row r="52" spans="1:16" ht="11.25">
      <c r="A52" s="21"/>
      <c r="B52" s="22"/>
      <c r="C52" s="4"/>
      <c r="D52" s="4"/>
      <c r="E52" s="3"/>
      <c r="F52" s="63" t="s">
        <v>76</v>
      </c>
      <c r="G52" s="293">
        <v>0.282</v>
      </c>
      <c r="H52" s="294"/>
      <c r="I52" s="72"/>
      <c r="J52" s="293">
        <v>0.242</v>
      </c>
      <c r="K52" s="294"/>
      <c r="L52" s="72"/>
      <c r="M52" s="293">
        <v>0.264</v>
      </c>
      <c r="N52" s="295"/>
      <c r="P52" s="10" t="s">
        <v>79</v>
      </c>
    </row>
    <row r="53" spans="1:16" ht="11" customHeight="1">
      <c r="A53" s="20"/>
      <c r="B53" s="23"/>
      <c r="C53" s="4"/>
      <c r="D53" s="4"/>
      <c r="E53" s="3"/>
      <c r="F53" s="29" t="s">
        <v>10</v>
      </c>
      <c r="G53" s="296">
        <v>6</v>
      </c>
      <c r="H53" s="297"/>
      <c r="I53" s="3"/>
      <c r="J53" s="296">
        <v>10</v>
      </c>
      <c r="K53" s="297"/>
      <c r="L53" s="3"/>
      <c r="M53" s="296">
        <v>8</v>
      </c>
      <c r="N53" s="298"/>
      <c r="P53" s="10" t="s">
        <v>34</v>
      </c>
    </row>
    <row r="54" spans="1:16" ht="11.25">
      <c r="A54" s="20"/>
      <c r="B54" s="23"/>
      <c r="C54" s="4"/>
      <c r="D54" s="4"/>
      <c r="E54" s="3"/>
      <c r="F54" s="29" t="s">
        <v>8</v>
      </c>
      <c r="G54" s="296">
        <v>44</v>
      </c>
      <c r="H54" s="297"/>
      <c r="I54" s="14"/>
      <c r="J54" s="296">
        <v>50</v>
      </c>
      <c r="K54" s="297"/>
      <c r="L54" s="14"/>
      <c r="M54" s="296">
        <v>49</v>
      </c>
      <c r="N54" s="298"/>
      <c r="P54" s="10" t="s">
        <v>36</v>
      </c>
    </row>
    <row r="55" spans="1:16" ht="11.25">
      <c r="A55" s="20"/>
      <c r="B55" s="23"/>
      <c r="C55" s="4"/>
      <c r="D55" s="4"/>
      <c r="E55" s="3"/>
      <c r="F55" s="42" t="s">
        <v>11</v>
      </c>
      <c r="G55" s="296">
        <v>21.4</v>
      </c>
      <c r="H55" s="297"/>
      <c r="I55" s="3"/>
      <c r="J55" s="296">
        <v>24.9</v>
      </c>
      <c r="K55" s="297"/>
      <c r="L55" s="3"/>
      <c r="M55" s="296">
        <v>21.6</v>
      </c>
      <c r="N55" s="298"/>
      <c r="P55" s="10" t="s">
        <v>42</v>
      </c>
    </row>
    <row r="56" spans="1:19" ht="11.25">
      <c r="A56" s="20"/>
      <c r="B56" s="22"/>
      <c r="C56" s="4"/>
      <c r="D56" s="4"/>
      <c r="E56" s="3"/>
      <c r="F56" s="29" t="s">
        <v>9</v>
      </c>
      <c r="G56" s="293">
        <v>0.83</v>
      </c>
      <c r="H56" s="294"/>
      <c r="I56" s="3"/>
      <c r="J56" s="293">
        <v>0.91</v>
      </c>
      <c r="K56" s="294"/>
      <c r="L56" s="3"/>
      <c r="M56" s="293">
        <v>0.94</v>
      </c>
      <c r="N56" s="295"/>
      <c r="P56" s="10" t="s">
        <v>37</v>
      </c>
      <c r="Q56"/>
      <c r="R56"/>
      <c r="S56"/>
    </row>
    <row r="57" spans="1:19" ht="11.25">
      <c r="A57" s="20"/>
      <c r="B57" s="22"/>
      <c r="C57" s="4"/>
      <c r="D57" s="4"/>
      <c r="E57" s="27"/>
      <c r="F57" s="29" t="s">
        <v>12</v>
      </c>
      <c r="G57" s="296">
        <v>2</v>
      </c>
      <c r="H57" s="297"/>
      <c r="I57" s="28"/>
      <c r="J57" s="296">
        <v>1</v>
      </c>
      <c r="K57" s="297"/>
      <c r="L57" s="28"/>
      <c r="M57" s="296">
        <v>1</v>
      </c>
      <c r="N57" s="298"/>
      <c r="P57" s="10" t="s">
        <v>38</v>
      </c>
      <c r="Q57"/>
      <c r="R57"/>
      <c r="S57"/>
    </row>
    <row r="58" spans="1:19" ht="11.25">
      <c r="A58" s="20"/>
      <c r="B58" s="22"/>
      <c r="C58" s="4"/>
      <c r="D58" s="4"/>
      <c r="E58" s="3"/>
      <c r="F58" s="29" t="s">
        <v>19</v>
      </c>
      <c r="G58" s="293">
        <v>0.096</v>
      </c>
      <c r="H58" s="294"/>
      <c r="I58" s="28"/>
      <c r="J58" s="293">
        <v>0.12</v>
      </c>
      <c r="K58" s="294"/>
      <c r="L58" s="28"/>
      <c r="M58" s="293">
        <v>0.111</v>
      </c>
      <c r="N58" s="295"/>
      <c r="P58" s="10" t="s">
        <v>39</v>
      </c>
      <c r="Q58"/>
      <c r="R58"/>
      <c r="S58"/>
    </row>
    <row r="59" spans="1:19" ht="11.25">
      <c r="A59" s="20"/>
      <c r="B59" s="22"/>
      <c r="C59" s="4"/>
      <c r="D59" s="4"/>
      <c r="E59" s="3"/>
      <c r="F59" s="29" t="s">
        <v>0</v>
      </c>
      <c r="G59" s="293">
        <v>-0.015</v>
      </c>
      <c r="H59" s="294"/>
      <c r="I59" s="28"/>
      <c r="J59" s="293">
        <v>0</v>
      </c>
      <c r="K59" s="294"/>
      <c r="L59" s="28"/>
      <c r="M59" s="293">
        <v>0</v>
      </c>
      <c r="N59" s="295"/>
      <c r="P59" s="10" t="s">
        <v>40</v>
      </c>
      <c r="Q59"/>
      <c r="R59"/>
      <c r="S59"/>
    </row>
    <row r="60" spans="1:14" ht="11.25">
      <c r="A60" s="21" t="s">
        <v>1</v>
      </c>
      <c r="B60" s="28"/>
      <c r="C60" s="28"/>
      <c r="D60" s="28"/>
      <c r="E60" s="28"/>
      <c r="F60" s="28"/>
      <c r="G60" s="28"/>
      <c r="H60" s="28"/>
      <c r="I60" s="28"/>
      <c r="J60" s="28"/>
      <c r="K60" s="28"/>
      <c r="L60" s="28"/>
      <c r="M60" s="28"/>
      <c r="N60" s="33"/>
    </row>
    <row r="61" spans="1:16" ht="11.25">
      <c r="A61" s="37"/>
      <c r="B61" s="28"/>
      <c r="C61" s="28"/>
      <c r="D61" s="28"/>
      <c r="E61" s="28"/>
      <c r="F61" s="28"/>
      <c r="G61" s="28"/>
      <c r="H61" s="28"/>
      <c r="I61" s="28"/>
      <c r="J61" s="28"/>
      <c r="K61" s="28"/>
      <c r="L61" s="28"/>
      <c r="M61" s="28"/>
      <c r="N61" s="33"/>
      <c r="P61" t="s">
        <v>35</v>
      </c>
    </row>
    <row r="62" spans="1:14" ht="11.25">
      <c r="A62" s="38"/>
      <c r="B62" s="23"/>
      <c r="C62" s="23"/>
      <c r="D62" s="23"/>
      <c r="E62" s="23"/>
      <c r="F62" s="23"/>
      <c r="G62" s="23"/>
      <c r="H62" s="23"/>
      <c r="I62" s="23"/>
      <c r="J62" s="23"/>
      <c r="K62" s="23"/>
      <c r="L62" s="23"/>
      <c r="M62" s="23"/>
      <c r="N62" s="24"/>
    </row>
    <row r="63" spans="1:14" ht="11.25">
      <c r="A63" s="38"/>
      <c r="B63" s="23"/>
      <c r="C63" s="23"/>
      <c r="D63" s="23"/>
      <c r="E63" s="23"/>
      <c r="F63" s="23"/>
      <c r="G63" s="23"/>
      <c r="H63" s="23"/>
      <c r="I63" s="23"/>
      <c r="J63" s="23"/>
      <c r="K63" s="23"/>
      <c r="L63" s="23"/>
      <c r="M63" s="23"/>
      <c r="N63" s="24"/>
    </row>
    <row r="64" spans="1:16" ht="11.25">
      <c r="A64" s="38"/>
      <c r="B64" s="23"/>
      <c r="C64" s="23"/>
      <c r="D64" s="23"/>
      <c r="E64" s="23"/>
      <c r="F64" s="23"/>
      <c r="G64" s="23"/>
      <c r="H64" s="23"/>
      <c r="I64" s="23"/>
      <c r="J64" s="23"/>
      <c r="K64" s="23"/>
      <c r="L64" s="23"/>
      <c r="M64" s="23"/>
      <c r="N64" s="24"/>
      <c r="P64" s="44" t="s">
        <v>41</v>
      </c>
    </row>
    <row r="65" spans="1:14" ht="11.25">
      <c r="A65" s="38"/>
      <c r="B65" s="23"/>
      <c r="C65" s="23"/>
      <c r="D65" s="23"/>
      <c r="E65" s="23"/>
      <c r="F65" s="23"/>
      <c r="G65" s="23"/>
      <c r="H65" s="23"/>
      <c r="I65" s="23"/>
      <c r="J65" s="23"/>
      <c r="K65" s="23"/>
      <c r="L65" s="23"/>
      <c r="M65" s="23"/>
      <c r="N65" s="24"/>
    </row>
    <row r="66" spans="1:14" ht="12.75" thickBot="1">
      <c r="A66" s="39"/>
      <c r="B66" s="40"/>
      <c r="C66" s="40"/>
      <c r="D66" s="40"/>
      <c r="E66" s="40"/>
      <c r="F66" s="40"/>
      <c r="G66" s="40"/>
      <c r="H66" s="40"/>
      <c r="I66" s="40"/>
      <c r="J66" s="40"/>
      <c r="K66" s="40"/>
      <c r="L66" s="40"/>
      <c r="M66" s="40"/>
      <c r="N66" s="41"/>
    </row>
  </sheetData>
  <mergeCells count="122">
    <mergeCell ref="G5:H5"/>
    <mergeCell ref="G6:H6"/>
    <mergeCell ref="G7:H7"/>
    <mergeCell ref="G8:H8"/>
    <mergeCell ref="G9:H9"/>
    <mergeCell ref="J9:K9"/>
    <mergeCell ref="G2:N2"/>
    <mergeCell ref="G3:H3"/>
    <mergeCell ref="J3:K3"/>
    <mergeCell ref="M3:N3"/>
    <mergeCell ref="G4:H4"/>
    <mergeCell ref="J4:K4"/>
    <mergeCell ref="M4:N4"/>
    <mergeCell ref="G13:H13"/>
    <mergeCell ref="J13:K13"/>
    <mergeCell ref="M13:N13"/>
    <mergeCell ref="G14:H14"/>
    <mergeCell ref="J14:K14"/>
    <mergeCell ref="M14:N14"/>
    <mergeCell ref="M9:N9"/>
    <mergeCell ref="G11:H11"/>
    <mergeCell ref="J11:K11"/>
    <mergeCell ref="M11:N11"/>
    <mergeCell ref="G12:H12"/>
    <mergeCell ref="J12:K12"/>
    <mergeCell ref="M12:N12"/>
    <mergeCell ref="G18:H18"/>
    <mergeCell ref="J18:K18"/>
    <mergeCell ref="M18:N18"/>
    <mergeCell ref="G19:H19"/>
    <mergeCell ref="J19:K19"/>
    <mergeCell ref="M19:N19"/>
    <mergeCell ref="G15:H15"/>
    <mergeCell ref="J15:K15"/>
    <mergeCell ref="M15:N15"/>
    <mergeCell ref="G16:H16"/>
    <mergeCell ref="J16:K16"/>
    <mergeCell ref="M16:N16"/>
    <mergeCell ref="G22:H22"/>
    <mergeCell ref="J22:K22"/>
    <mergeCell ref="M22:N22"/>
    <mergeCell ref="G24:H24"/>
    <mergeCell ref="J24:K24"/>
    <mergeCell ref="M24:N24"/>
    <mergeCell ref="G20:H20"/>
    <mergeCell ref="J20:K20"/>
    <mergeCell ref="M20:N20"/>
    <mergeCell ref="G21:H21"/>
    <mergeCell ref="J21:K21"/>
    <mergeCell ref="M21:N21"/>
    <mergeCell ref="G28:H28"/>
    <mergeCell ref="J28:K28"/>
    <mergeCell ref="M28:N28"/>
    <mergeCell ref="G29:H29"/>
    <mergeCell ref="J29:K29"/>
    <mergeCell ref="M29:N29"/>
    <mergeCell ref="G25:H25"/>
    <mergeCell ref="J25:K25"/>
    <mergeCell ref="M25:N25"/>
    <mergeCell ref="G27:H27"/>
    <mergeCell ref="J27:K27"/>
    <mergeCell ref="M27:N27"/>
    <mergeCell ref="G34:H34"/>
    <mergeCell ref="J34:K34"/>
    <mergeCell ref="M34:N34"/>
    <mergeCell ref="G35:H35"/>
    <mergeCell ref="J35:K35"/>
    <mergeCell ref="M35:N35"/>
    <mergeCell ref="G31:H31"/>
    <mergeCell ref="J31:K31"/>
    <mergeCell ref="M31:N31"/>
    <mergeCell ref="G33:H33"/>
    <mergeCell ref="J33:K33"/>
    <mergeCell ref="M33:N33"/>
    <mergeCell ref="G39:H39"/>
    <mergeCell ref="J39:K39"/>
    <mergeCell ref="M39:N39"/>
    <mergeCell ref="G40:H40"/>
    <mergeCell ref="J40:K40"/>
    <mergeCell ref="M40:N40"/>
    <mergeCell ref="G36:H36"/>
    <mergeCell ref="J36:K36"/>
    <mergeCell ref="M36:N36"/>
    <mergeCell ref="G38:H38"/>
    <mergeCell ref="J38:K38"/>
    <mergeCell ref="M38:N38"/>
    <mergeCell ref="G51:H51"/>
    <mergeCell ref="J51:K51"/>
    <mergeCell ref="M51:N51"/>
    <mergeCell ref="G52:H52"/>
    <mergeCell ref="J52:K52"/>
    <mergeCell ref="M52:N52"/>
    <mergeCell ref="G41:H41"/>
    <mergeCell ref="J41:K41"/>
    <mergeCell ref="M41:N41"/>
    <mergeCell ref="G43:H43"/>
    <mergeCell ref="J43:K43"/>
    <mergeCell ref="M43:N43"/>
    <mergeCell ref="G59:H59"/>
    <mergeCell ref="J59:K59"/>
    <mergeCell ref="M59:N59"/>
    <mergeCell ref="G44:H44"/>
    <mergeCell ref="J44:K44"/>
    <mergeCell ref="M44:N44"/>
    <mergeCell ref="G57:H57"/>
    <mergeCell ref="J57:K57"/>
    <mergeCell ref="M57:N57"/>
    <mergeCell ref="G58:H58"/>
    <mergeCell ref="J58:K58"/>
    <mergeCell ref="M58:N58"/>
    <mergeCell ref="G55:H55"/>
    <mergeCell ref="J55:K55"/>
    <mergeCell ref="M55:N55"/>
    <mergeCell ref="G56:H56"/>
    <mergeCell ref="J56:K56"/>
    <mergeCell ref="M56:N56"/>
    <mergeCell ref="G53:H53"/>
    <mergeCell ref="J53:K53"/>
    <mergeCell ref="M53:N53"/>
    <mergeCell ref="G54:H54"/>
    <mergeCell ref="J54:K54"/>
    <mergeCell ref="M54:N54"/>
  </mergeCells>
  <printOptions/>
  <pageMargins left="0.25" right="0.25" top="0.75" bottom="0.75" header="0.3" footer="0.3"/>
  <pageSetup fitToHeight="1" fitToWidth="1" horizontalDpi="1200" verticalDpi="1200" orientation="portrait" scale="94" r:id="rId3"/>
  <colBreaks count="1" manualBreakCount="1">
    <brk id="14" max="16383" man="1"/>
  </col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V66"/>
  <sheetViews>
    <sheetView showGridLines="0" workbookViewId="0" topLeftCell="A1">
      <selection activeCell="M43" sqref="M43:N43"/>
    </sheetView>
  </sheetViews>
  <sheetFormatPr defaultColWidth="9.00390625" defaultRowHeight="11.25"/>
  <cols>
    <col min="1" max="1" width="4.625" style="1" customWidth="1"/>
    <col min="2" max="5" width="9.00390625" style="1" customWidth="1"/>
    <col min="6" max="6" width="7.125" style="1" customWidth="1"/>
    <col min="7" max="8" width="9.125" style="1" customWidth="1"/>
    <col min="9" max="9" width="1.75390625" style="1" customWidth="1"/>
    <col min="10" max="11" width="9.125" style="1" customWidth="1"/>
    <col min="12" max="12" width="1.75390625" style="1" customWidth="1"/>
    <col min="13" max="14" width="9.125" style="1" customWidth="1"/>
    <col min="15" max="15" width="3.75390625" style="10" customWidth="1"/>
    <col min="16" max="16384" width="9.00390625" style="10" customWidth="1"/>
  </cols>
  <sheetData>
    <row r="1" spans="1:14" s="12" customFormat="1" ht="11.25">
      <c r="A1" s="17" t="s">
        <v>88</v>
      </c>
      <c r="B1" s="18"/>
      <c r="C1" s="18"/>
      <c r="D1" s="18"/>
      <c r="E1" s="18"/>
      <c r="F1" s="18"/>
      <c r="G1" s="18"/>
      <c r="H1" s="18"/>
      <c r="I1" s="18"/>
      <c r="J1" s="18"/>
      <c r="K1" s="18"/>
      <c r="L1" s="18"/>
      <c r="M1" s="18"/>
      <c r="N1" s="19"/>
    </row>
    <row r="2" spans="1:16" s="12" customFormat="1" ht="11.25">
      <c r="A2" s="20" t="s">
        <v>89</v>
      </c>
      <c r="B2" s="15"/>
      <c r="C2" s="15"/>
      <c r="D2" s="15"/>
      <c r="E2" s="15"/>
      <c r="F2" s="15"/>
      <c r="G2" s="328" t="s">
        <v>26</v>
      </c>
      <c r="H2" s="328"/>
      <c r="I2" s="328"/>
      <c r="J2" s="328"/>
      <c r="K2" s="328"/>
      <c r="L2" s="328"/>
      <c r="M2" s="328"/>
      <c r="N2" s="329"/>
      <c r="P2" s="43" t="s">
        <v>27</v>
      </c>
    </row>
    <row r="3" spans="1:14" ht="11.25">
      <c r="A3" s="45"/>
      <c r="B3" s="2"/>
      <c r="C3" s="2"/>
      <c r="D3" s="2"/>
      <c r="E3" s="2"/>
      <c r="F3" s="16" t="s">
        <v>14</v>
      </c>
      <c r="G3" s="330">
        <v>19</v>
      </c>
      <c r="H3" s="327"/>
      <c r="I3" s="2"/>
      <c r="J3" s="330">
        <v>18</v>
      </c>
      <c r="K3" s="327"/>
      <c r="L3" s="2"/>
      <c r="M3" s="330">
        <v>17</v>
      </c>
      <c r="N3" s="331"/>
    </row>
    <row r="4" spans="1:14" ht="11.25">
      <c r="A4" s="20"/>
      <c r="B4" s="2"/>
      <c r="C4" s="2"/>
      <c r="D4" s="2"/>
      <c r="E4" s="2"/>
      <c r="F4" s="16" t="s">
        <v>15</v>
      </c>
      <c r="G4" s="330" t="s">
        <v>80</v>
      </c>
      <c r="H4" s="327"/>
      <c r="I4" s="2"/>
      <c r="J4" s="330" t="s">
        <v>81</v>
      </c>
      <c r="K4" s="327"/>
      <c r="L4" s="2"/>
      <c r="M4" s="330" t="s">
        <v>82</v>
      </c>
      <c r="N4" s="331"/>
    </row>
    <row r="5" spans="1:14" ht="11.25">
      <c r="A5" s="20"/>
      <c r="B5" s="2"/>
      <c r="C5" s="2"/>
      <c r="D5" s="2"/>
      <c r="E5" s="2"/>
      <c r="F5" s="16" t="s">
        <v>16</v>
      </c>
      <c r="G5" s="321" t="s">
        <v>95</v>
      </c>
      <c r="H5" s="322"/>
      <c r="I5" s="2"/>
      <c r="J5" s="28"/>
      <c r="K5" s="28"/>
      <c r="L5" s="28"/>
      <c r="M5" s="28"/>
      <c r="N5" s="33"/>
    </row>
    <row r="6" spans="1:14" ht="11.25">
      <c r="A6" s="20"/>
      <c r="B6" s="2"/>
      <c r="C6" s="2"/>
      <c r="D6" s="2"/>
      <c r="E6" s="2"/>
      <c r="F6" s="16" t="s">
        <v>17</v>
      </c>
      <c r="G6" s="323" t="s">
        <v>106</v>
      </c>
      <c r="H6" s="323"/>
      <c r="I6" s="2"/>
      <c r="J6" s="28"/>
      <c r="K6" s="28"/>
      <c r="L6" s="28"/>
      <c r="M6" s="28"/>
      <c r="N6" s="33"/>
    </row>
    <row r="7" spans="1:14" ht="11.25">
      <c r="A7" s="20"/>
      <c r="B7" s="2"/>
      <c r="C7" s="2"/>
      <c r="D7" s="2"/>
      <c r="E7" s="2"/>
      <c r="F7" s="16" t="s">
        <v>33</v>
      </c>
      <c r="G7" s="324" t="s">
        <v>97</v>
      </c>
      <c r="H7" s="325"/>
      <c r="I7" s="2"/>
      <c r="J7" s="28"/>
      <c r="K7" s="28"/>
      <c r="L7" s="28"/>
      <c r="M7" s="28"/>
      <c r="N7" s="33"/>
    </row>
    <row r="8" spans="1:14" ht="11.25">
      <c r="A8" s="20"/>
      <c r="B8" s="2"/>
      <c r="C8" s="2"/>
      <c r="D8" s="2"/>
      <c r="E8" s="2"/>
      <c r="F8" s="16" t="s">
        <v>18</v>
      </c>
      <c r="G8" s="326">
        <v>43924</v>
      </c>
      <c r="H8" s="327"/>
      <c r="I8" s="2"/>
      <c r="J8" s="28"/>
      <c r="K8" s="28"/>
      <c r="L8" s="28"/>
      <c r="M8" s="28"/>
      <c r="N8" s="33"/>
    </row>
    <row r="9" spans="1:14" ht="12.75">
      <c r="A9" s="21" t="s">
        <v>2</v>
      </c>
      <c r="B9" s="22"/>
      <c r="C9" s="4"/>
      <c r="D9" s="4"/>
      <c r="E9" s="3"/>
      <c r="F9" s="3"/>
      <c r="G9" s="319"/>
      <c r="H9" s="319"/>
      <c r="I9" s="3"/>
      <c r="J9" s="319"/>
      <c r="K9" s="319"/>
      <c r="L9" s="3"/>
      <c r="M9" s="319"/>
      <c r="N9" s="320"/>
    </row>
    <row r="10" spans="1:15" ht="12.75">
      <c r="A10" s="20"/>
      <c r="B10" s="22" t="s">
        <v>56</v>
      </c>
      <c r="C10" s="4"/>
      <c r="D10" s="4"/>
      <c r="E10" s="3"/>
      <c r="F10" s="29"/>
      <c r="G10" s="58"/>
      <c r="H10" s="58"/>
      <c r="I10" s="5"/>
      <c r="J10" s="58"/>
      <c r="K10" s="58"/>
      <c r="L10" s="5"/>
      <c r="M10" s="58"/>
      <c r="N10" s="59"/>
      <c r="O10" s="11"/>
    </row>
    <row r="11" spans="1:16" ht="11.25">
      <c r="A11" s="20"/>
      <c r="B11" s="22"/>
      <c r="C11" s="6"/>
      <c r="D11" s="6"/>
      <c r="E11" s="7"/>
      <c r="F11" s="30" t="s">
        <v>7</v>
      </c>
      <c r="G11" s="313">
        <v>1693</v>
      </c>
      <c r="H11" s="314"/>
      <c r="I11" s="5"/>
      <c r="J11" s="313">
        <v>1697</v>
      </c>
      <c r="K11" s="314"/>
      <c r="L11" s="5"/>
      <c r="M11" s="313">
        <v>1706</v>
      </c>
      <c r="N11" s="315"/>
      <c r="P11" s="10" t="s">
        <v>28</v>
      </c>
    </row>
    <row r="12" spans="1:16" ht="12.75">
      <c r="A12" s="20"/>
      <c r="B12" s="22"/>
      <c r="C12" s="4"/>
      <c r="D12" s="4"/>
      <c r="E12" s="3"/>
      <c r="F12" s="29" t="s">
        <v>5</v>
      </c>
      <c r="G12" s="316">
        <v>-0.004</v>
      </c>
      <c r="H12" s="317"/>
      <c r="I12" s="5"/>
      <c r="J12" s="316">
        <v>-0.04</v>
      </c>
      <c r="K12" s="317"/>
      <c r="L12" s="5"/>
      <c r="M12" s="316">
        <v>-0.189</v>
      </c>
      <c r="N12" s="318"/>
      <c r="O12" s="11"/>
      <c r="P12" s="10" t="s">
        <v>29</v>
      </c>
    </row>
    <row r="13" spans="1:16" ht="12.75">
      <c r="A13" s="20"/>
      <c r="B13" s="22"/>
      <c r="C13" s="4"/>
      <c r="D13" s="4"/>
      <c r="E13" s="3"/>
      <c r="F13" s="29" t="s">
        <v>53</v>
      </c>
      <c r="G13" s="313">
        <v>0</v>
      </c>
      <c r="H13" s="314"/>
      <c r="I13" s="5"/>
      <c r="J13" s="313">
        <v>0</v>
      </c>
      <c r="K13" s="314"/>
      <c r="L13" s="5"/>
      <c r="M13" s="313">
        <v>0</v>
      </c>
      <c r="N13" s="315"/>
      <c r="O13" s="11"/>
      <c r="P13" s="10" t="s">
        <v>71</v>
      </c>
    </row>
    <row r="14" spans="1:16" ht="12.75">
      <c r="A14" s="20"/>
      <c r="B14" s="22"/>
      <c r="C14" s="4"/>
      <c r="D14" s="4"/>
      <c r="E14" s="3"/>
      <c r="F14" s="29" t="s">
        <v>54</v>
      </c>
      <c r="G14" s="313">
        <v>0</v>
      </c>
      <c r="H14" s="314"/>
      <c r="I14" s="5"/>
      <c r="J14" s="313">
        <v>0</v>
      </c>
      <c r="K14" s="314"/>
      <c r="L14" s="5"/>
      <c r="M14" s="313">
        <v>0</v>
      </c>
      <c r="N14" s="315"/>
      <c r="O14" s="11"/>
      <c r="P14" s="10" t="s">
        <v>70</v>
      </c>
    </row>
    <row r="15" spans="1:16" ht="12.75">
      <c r="A15" s="20"/>
      <c r="B15" s="22"/>
      <c r="C15" s="4"/>
      <c r="D15" s="4"/>
      <c r="E15" s="3"/>
      <c r="F15" s="29" t="s">
        <v>55</v>
      </c>
      <c r="G15" s="313">
        <v>0</v>
      </c>
      <c r="H15" s="314"/>
      <c r="I15" s="5"/>
      <c r="J15" s="313">
        <v>0</v>
      </c>
      <c r="K15" s="314"/>
      <c r="L15" s="5"/>
      <c r="M15" s="313">
        <v>0</v>
      </c>
      <c r="N15" s="315"/>
      <c r="O15" s="11"/>
      <c r="P15" s="10" t="s">
        <v>69</v>
      </c>
    </row>
    <row r="16" spans="1:16" ht="12.75">
      <c r="A16" s="20"/>
      <c r="B16" s="22"/>
      <c r="C16" s="4"/>
      <c r="D16" s="4"/>
      <c r="E16" s="3"/>
      <c r="F16" s="29" t="s">
        <v>78</v>
      </c>
      <c r="G16" s="313">
        <v>0</v>
      </c>
      <c r="H16" s="314"/>
      <c r="I16" s="5"/>
      <c r="J16" s="313">
        <v>0</v>
      </c>
      <c r="K16" s="314"/>
      <c r="L16" s="5"/>
      <c r="M16" s="313">
        <v>0</v>
      </c>
      <c r="N16" s="315"/>
      <c r="O16" s="11"/>
      <c r="P16" s="10" t="s">
        <v>86</v>
      </c>
    </row>
    <row r="17" spans="1:15" ht="12.75">
      <c r="A17" s="20"/>
      <c r="B17" s="22" t="s">
        <v>57</v>
      </c>
      <c r="C17" s="4"/>
      <c r="D17" s="4"/>
      <c r="E17" s="3"/>
      <c r="F17" s="29"/>
      <c r="G17" s="58"/>
      <c r="H17" s="58"/>
      <c r="I17" s="5"/>
      <c r="J17" s="58"/>
      <c r="K17" s="58"/>
      <c r="L17" s="5"/>
      <c r="M17" s="58"/>
      <c r="N17" s="59"/>
      <c r="O17" s="11"/>
    </row>
    <row r="18" spans="1:16" ht="11.25">
      <c r="A18" s="20"/>
      <c r="B18" s="22"/>
      <c r="C18" s="6"/>
      <c r="D18" s="6"/>
      <c r="E18" s="7"/>
      <c r="F18" s="30" t="s">
        <v>7</v>
      </c>
      <c r="G18" s="313"/>
      <c r="H18" s="314"/>
      <c r="I18" s="5"/>
      <c r="J18" s="313"/>
      <c r="K18" s="314"/>
      <c r="L18" s="5"/>
      <c r="M18" s="313"/>
      <c r="N18" s="315"/>
      <c r="P18" s="10" t="s">
        <v>28</v>
      </c>
    </row>
    <row r="19" spans="1:16" ht="12.75">
      <c r="A19" s="20"/>
      <c r="B19" s="22"/>
      <c r="C19" s="4"/>
      <c r="D19" s="4"/>
      <c r="E19" s="3"/>
      <c r="F19" s="29" t="s">
        <v>5</v>
      </c>
      <c r="G19" s="316"/>
      <c r="H19" s="317"/>
      <c r="I19" s="5"/>
      <c r="J19" s="316"/>
      <c r="K19" s="317"/>
      <c r="L19" s="5"/>
      <c r="M19" s="316"/>
      <c r="N19" s="318"/>
      <c r="O19" s="11"/>
      <c r="P19" s="10" t="s">
        <v>29</v>
      </c>
    </row>
    <row r="20" spans="1:16" ht="12.75">
      <c r="A20" s="20"/>
      <c r="B20" s="22"/>
      <c r="C20" s="4"/>
      <c r="D20" s="4"/>
      <c r="E20" s="3"/>
      <c r="F20" s="29" t="s">
        <v>58</v>
      </c>
      <c r="G20" s="313"/>
      <c r="H20" s="314"/>
      <c r="I20" s="5"/>
      <c r="J20" s="313"/>
      <c r="K20" s="314"/>
      <c r="L20" s="5"/>
      <c r="M20" s="313"/>
      <c r="N20" s="315"/>
      <c r="O20" s="11"/>
      <c r="P20" s="10" t="s">
        <v>71</v>
      </c>
    </row>
    <row r="21" spans="1:16" ht="12.75">
      <c r="A21" s="20"/>
      <c r="B21" s="22"/>
      <c r="C21" s="4"/>
      <c r="D21" s="4"/>
      <c r="E21" s="3"/>
      <c r="F21" s="29" t="s">
        <v>59</v>
      </c>
      <c r="G21" s="313"/>
      <c r="H21" s="314"/>
      <c r="I21" s="5"/>
      <c r="J21" s="313"/>
      <c r="K21" s="314"/>
      <c r="L21" s="5"/>
      <c r="M21" s="313"/>
      <c r="N21" s="315"/>
      <c r="O21" s="11"/>
      <c r="P21" s="10" t="s">
        <v>83</v>
      </c>
    </row>
    <row r="22" spans="1:16" ht="12.75">
      <c r="A22" s="20"/>
      <c r="B22" s="22"/>
      <c r="C22" s="4"/>
      <c r="D22" s="4"/>
      <c r="E22" s="3"/>
      <c r="F22" s="29" t="s">
        <v>78</v>
      </c>
      <c r="G22" s="313"/>
      <c r="H22" s="314"/>
      <c r="I22" s="5"/>
      <c r="J22" s="313"/>
      <c r="K22" s="314"/>
      <c r="L22" s="5"/>
      <c r="M22" s="313"/>
      <c r="N22" s="315"/>
      <c r="O22" s="11"/>
      <c r="P22" s="10" t="s">
        <v>86</v>
      </c>
    </row>
    <row r="23" spans="1:14" ht="11.25">
      <c r="A23" s="20"/>
      <c r="B23" s="4" t="s">
        <v>6</v>
      </c>
      <c r="C23" s="4"/>
      <c r="D23" s="4"/>
      <c r="E23" s="3"/>
      <c r="F23" s="3"/>
      <c r="G23" s="23"/>
      <c r="H23" s="23"/>
      <c r="I23" s="5"/>
      <c r="J23" s="23"/>
      <c r="K23" s="23"/>
      <c r="L23" s="5"/>
      <c r="M23" s="23"/>
      <c r="N23" s="24"/>
    </row>
    <row r="24" spans="1:16" ht="11.25">
      <c r="A24" s="20"/>
      <c r="B24" s="22"/>
      <c r="C24" s="4"/>
      <c r="D24" s="4"/>
      <c r="E24" s="3"/>
      <c r="F24" s="29" t="s">
        <v>20</v>
      </c>
      <c r="G24" s="293">
        <v>0</v>
      </c>
      <c r="H24" s="294"/>
      <c r="I24" s="3"/>
      <c r="J24" s="293">
        <v>0</v>
      </c>
      <c r="K24" s="294"/>
      <c r="L24" s="3"/>
      <c r="M24" s="293">
        <v>0</v>
      </c>
      <c r="N24" s="295"/>
      <c r="P24" s="10" t="s">
        <v>30</v>
      </c>
    </row>
    <row r="25" spans="1:16" ht="11.25">
      <c r="A25" s="20"/>
      <c r="B25" s="22"/>
      <c r="C25" s="4"/>
      <c r="D25" s="4"/>
      <c r="E25" s="3"/>
      <c r="F25" s="29" t="s">
        <v>21</v>
      </c>
      <c r="G25" s="293">
        <v>1</v>
      </c>
      <c r="H25" s="294"/>
      <c r="I25" s="3"/>
      <c r="J25" s="293">
        <v>1</v>
      </c>
      <c r="K25" s="294"/>
      <c r="L25" s="3"/>
      <c r="M25" s="293">
        <v>1</v>
      </c>
      <c r="N25" s="295"/>
      <c r="P25" s="10" t="s">
        <v>31</v>
      </c>
    </row>
    <row r="26" spans="1:14" ht="11.25">
      <c r="A26" s="62" t="s">
        <v>60</v>
      </c>
      <c r="B26" s="22"/>
      <c r="C26" s="4"/>
      <c r="D26" s="4"/>
      <c r="E26" s="3"/>
      <c r="F26" s="29"/>
      <c r="G26" s="60"/>
      <c r="H26" s="60"/>
      <c r="I26" s="5"/>
      <c r="J26" s="60"/>
      <c r="K26" s="60"/>
      <c r="L26" s="5"/>
      <c r="M26" s="60"/>
      <c r="N26" s="61"/>
    </row>
    <row r="27" spans="1:16" ht="11.25">
      <c r="A27" s="20"/>
      <c r="B27" s="22"/>
      <c r="C27" s="4"/>
      <c r="D27" s="4"/>
      <c r="E27" s="3"/>
      <c r="F27" s="29" t="s">
        <v>61</v>
      </c>
      <c r="G27" s="313">
        <v>167779.22</v>
      </c>
      <c r="H27" s="314"/>
      <c r="I27" s="5"/>
      <c r="J27" s="313">
        <v>221255.12</v>
      </c>
      <c r="K27" s="314"/>
      <c r="L27" s="5"/>
      <c r="M27" s="313">
        <v>212950.89</v>
      </c>
      <c r="N27" s="315"/>
      <c r="P27" s="10" t="s">
        <v>91</v>
      </c>
    </row>
    <row r="28" spans="1:16" ht="11.25">
      <c r="A28" s="20"/>
      <c r="B28" s="22"/>
      <c r="C28" s="4"/>
      <c r="D28" s="4"/>
      <c r="E28" s="3"/>
      <c r="F28" s="29" t="s">
        <v>62</v>
      </c>
      <c r="G28" s="313">
        <v>39412.13</v>
      </c>
      <c r="H28" s="314"/>
      <c r="I28" s="5"/>
      <c r="J28" s="313">
        <v>38344.48</v>
      </c>
      <c r="K28" s="314"/>
      <c r="L28" s="5"/>
      <c r="M28" s="313">
        <v>39501</v>
      </c>
      <c r="N28" s="315"/>
      <c r="P28" s="10" t="s">
        <v>91</v>
      </c>
    </row>
    <row r="29" spans="1:16" ht="11.25">
      <c r="A29" s="20"/>
      <c r="B29" s="22"/>
      <c r="C29" s="4"/>
      <c r="D29" s="4"/>
      <c r="E29" s="3"/>
      <c r="F29" s="29" t="s">
        <v>63</v>
      </c>
      <c r="G29" s="310">
        <f>53781.68+19441.08</f>
        <v>73222.76000000001</v>
      </c>
      <c r="H29" s="311"/>
      <c r="I29" s="5"/>
      <c r="J29" s="310">
        <f>19108.93+71162.54</f>
        <v>90271.47</v>
      </c>
      <c r="K29" s="311"/>
      <c r="L29" s="5"/>
      <c r="M29" s="310">
        <f>63782.33+18357.09</f>
        <v>82139.42</v>
      </c>
      <c r="N29" s="312"/>
      <c r="P29" s="10" t="s">
        <v>90</v>
      </c>
    </row>
    <row r="30" spans="1:14" ht="11.25">
      <c r="A30" s="20"/>
      <c r="B30" s="22"/>
      <c r="C30" s="4"/>
      <c r="D30" s="4"/>
      <c r="E30" s="3"/>
      <c r="F30" s="29"/>
      <c r="G30" s="73"/>
      <c r="H30" s="74"/>
      <c r="I30" s="5"/>
      <c r="J30" s="73"/>
      <c r="K30" s="74"/>
      <c r="L30" s="5"/>
      <c r="M30" s="73"/>
      <c r="N30" s="75"/>
    </row>
    <row r="31" spans="1:18" ht="11.25">
      <c r="A31" s="20"/>
      <c r="B31" s="4"/>
      <c r="C31" s="4"/>
      <c r="D31" s="4"/>
      <c r="E31" s="3"/>
      <c r="F31" s="63" t="s">
        <v>64</v>
      </c>
      <c r="G31" s="299">
        <f>SUM(G27:H29)/(G11+G18)</f>
        <v>165.63148848198463</v>
      </c>
      <c r="H31" s="300"/>
      <c r="I31" s="22"/>
      <c r="J31" s="299">
        <f>SUM(J27:K29)/(J11+J18)</f>
        <v>206.17034177961108</v>
      </c>
      <c r="K31" s="300"/>
      <c r="L31" s="22"/>
      <c r="M31" s="299">
        <f>SUM(M27:N29)/(M11+M18)</f>
        <v>196.12620750293084</v>
      </c>
      <c r="N31" s="301"/>
      <c r="O31"/>
      <c r="P31" t="s">
        <v>32</v>
      </c>
      <c r="Q31"/>
      <c r="R31"/>
    </row>
    <row r="32" spans="1:14" ht="11.25">
      <c r="A32" s="21" t="s">
        <v>3</v>
      </c>
      <c r="B32" s="22"/>
      <c r="C32" s="4"/>
      <c r="D32" s="4"/>
      <c r="E32" s="3"/>
      <c r="F32" s="3"/>
      <c r="G32" s="8"/>
      <c r="H32" s="8"/>
      <c r="I32" s="3"/>
      <c r="J32" s="8"/>
      <c r="K32" s="8"/>
      <c r="L32" s="3"/>
      <c r="M32" s="8"/>
      <c r="N32" s="25"/>
    </row>
    <row r="33" spans="1:22" ht="11.25">
      <c r="A33" s="20"/>
      <c r="B33" s="22"/>
      <c r="C33" s="4"/>
      <c r="D33" s="48"/>
      <c r="E33" s="49"/>
      <c r="F33" s="50" t="s">
        <v>43</v>
      </c>
      <c r="G33" s="302">
        <f>0.6</f>
        <v>0.6</v>
      </c>
      <c r="H33" s="303"/>
      <c r="I33" s="56"/>
      <c r="J33" s="302">
        <f>1</f>
        <v>1</v>
      </c>
      <c r="K33" s="303"/>
      <c r="L33" s="56"/>
      <c r="M33" s="302">
        <f>1+0.7</f>
        <v>1.7</v>
      </c>
      <c r="N33" s="304"/>
      <c r="O33"/>
      <c r="P33" s="46" t="s">
        <v>47</v>
      </c>
      <c r="Q33" s="47"/>
      <c r="R33" s="47"/>
      <c r="S33" s="46"/>
      <c r="T33" s="46"/>
      <c r="U33" s="46"/>
      <c r="V33" s="46"/>
    </row>
    <row r="34" spans="1:22" ht="11.25">
      <c r="A34" s="20"/>
      <c r="B34" s="22"/>
      <c r="C34" s="4"/>
      <c r="D34" s="48"/>
      <c r="E34" s="49"/>
      <c r="F34" s="50" t="s">
        <v>44</v>
      </c>
      <c r="G34" s="302">
        <f>1/36*45</f>
        <v>1.25</v>
      </c>
      <c r="H34" s="303"/>
      <c r="I34" s="56"/>
      <c r="J34" s="302">
        <f>0.8/36*45</f>
        <v>1</v>
      </c>
      <c r="K34" s="303"/>
      <c r="L34" s="56"/>
      <c r="M34" s="302">
        <v>0</v>
      </c>
      <c r="N34" s="304"/>
      <c r="O34"/>
      <c r="P34" s="46" t="s">
        <v>48</v>
      </c>
      <c r="Q34" s="47"/>
      <c r="R34" s="47"/>
      <c r="S34" s="46"/>
      <c r="T34" s="46"/>
      <c r="U34" s="46"/>
      <c r="V34" s="46"/>
    </row>
    <row r="35" spans="1:22" ht="11.25">
      <c r="A35" s="20"/>
      <c r="B35" s="22"/>
      <c r="C35" s="4"/>
      <c r="D35" s="48"/>
      <c r="E35" s="49"/>
      <c r="F35" s="50" t="s">
        <v>45</v>
      </c>
      <c r="G35" s="307">
        <v>0</v>
      </c>
      <c r="H35" s="308"/>
      <c r="I35" s="56"/>
      <c r="J35" s="307">
        <v>0</v>
      </c>
      <c r="K35" s="308"/>
      <c r="L35" s="56"/>
      <c r="M35" s="307">
        <v>0</v>
      </c>
      <c r="N35" s="309"/>
      <c r="O35"/>
      <c r="P35" s="46" t="s">
        <v>50</v>
      </c>
      <c r="Q35" s="47"/>
      <c r="R35" s="47"/>
      <c r="S35" s="46"/>
      <c r="T35" s="46"/>
      <c r="U35" s="46"/>
      <c r="V35" s="46"/>
    </row>
    <row r="36" spans="1:22" ht="11.25">
      <c r="A36" s="20"/>
      <c r="B36" s="22"/>
      <c r="C36" s="4"/>
      <c r="D36" s="48"/>
      <c r="E36" s="49"/>
      <c r="F36" s="50" t="s">
        <v>46</v>
      </c>
      <c r="G36" s="305">
        <v>0</v>
      </c>
      <c r="H36" s="305"/>
      <c r="I36" s="56"/>
      <c r="J36" s="305">
        <v>0</v>
      </c>
      <c r="K36" s="305"/>
      <c r="L36" s="56"/>
      <c r="M36" s="305">
        <v>0</v>
      </c>
      <c r="N36" s="306"/>
      <c r="O36"/>
      <c r="P36" s="46" t="s">
        <v>49</v>
      </c>
      <c r="Q36" s="47"/>
      <c r="R36" s="47"/>
      <c r="S36" s="46"/>
      <c r="T36" s="46"/>
      <c r="U36" s="46"/>
      <c r="V36" s="46"/>
    </row>
    <row r="37" spans="1:18" s="69" customFormat="1" ht="11.25">
      <c r="A37" s="64"/>
      <c r="B37" s="65"/>
      <c r="C37" s="66"/>
      <c r="D37" s="66"/>
      <c r="E37" s="5"/>
      <c r="F37" s="67"/>
      <c r="G37" s="70"/>
      <c r="H37" s="70"/>
      <c r="I37" s="68"/>
      <c r="J37" s="70"/>
      <c r="K37" s="70"/>
      <c r="L37" s="68"/>
      <c r="M37" s="70"/>
      <c r="N37" s="71"/>
      <c r="O37" s="12"/>
      <c r="Q37" s="12"/>
      <c r="R37" s="12"/>
    </row>
    <row r="38" spans="1:22" ht="11.25">
      <c r="A38" s="20"/>
      <c r="B38" s="22"/>
      <c r="C38" s="4"/>
      <c r="D38" s="48"/>
      <c r="E38" s="49"/>
      <c r="F38" s="50" t="s">
        <v>66</v>
      </c>
      <c r="G38" s="305">
        <v>245</v>
      </c>
      <c r="H38" s="305"/>
      <c r="I38" s="56"/>
      <c r="J38" s="305">
        <f>535</f>
        <v>535</v>
      </c>
      <c r="K38" s="305"/>
      <c r="L38" s="56"/>
      <c r="M38" s="305">
        <f>490+1305</f>
        <v>1795</v>
      </c>
      <c r="N38" s="306"/>
      <c r="O38"/>
      <c r="P38" s="46" t="s">
        <v>72</v>
      </c>
      <c r="Q38" s="47"/>
      <c r="R38" s="47"/>
      <c r="S38" s="46"/>
      <c r="T38" s="46"/>
      <c r="U38" s="46"/>
      <c r="V38" s="46"/>
    </row>
    <row r="39" spans="1:22" ht="11.25">
      <c r="A39" s="20"/>
      <c r="B39" s="22"/>
      <c r="C39" s="4"/>
      <c r="D39" s="48"/>
      <c r="E39" s="49"/>
      <c r="F39" s="50" t="s">
        <v>65</v>
      </c>
      <c r="G39" s="299">
        <v>545</v>
      </c>
      <c r="H39" s="300"/>
      <c r="I39" s="56"/>
      <c r="J39" s="299">
        <v>205</v>
      </c>
      <c r="K39" s="300"/>
      <c r="L39" s="56"/>
      <c r="M39" s="299">
        <v>0</v>
      </c>
      <c r="N39" s="301"/>
      <c r="O39"/>
      <c r="P39" s="46" t="s">
        <v>73</v>
      </c>
      <c r="Q39" s="47"/>
      <c r="R39" s="47"/>
      <c r="S39" s="46"/>
      <c r="T39" s="46"/>
      <c r="U39" s="46"/>
      <c r="V39" s="46"/>
    </row>
    <row r="40" spans="1:22" ht="11.25">
      <c r="A40" s="20"/>
      <c r="B40" s="22"/>
      <c r="C40" s="4"/>
      <c r="D40" s="48"/>
      <c r="E40" s="49"/>
      <c r="F40" s="50" t="s">
        <v>67</v>
      </c>
      <c r="G40" s="302">
        <v>0</v>
      </c>
      <c r="H40" s="303"/>
      <c r="I40" s="56"/>
      <c r="J40" s="302">
        <v>0</v>
      </c>
      <c r="K40" s="303"/>
      <c r="L40" s="56"/>
      <c r="M40" s="302">
        <v>0</v>
      </c>
      <c r="N40" s="304"/>
      <c r="O40"/>
      <c r="P40" s="46" t="s">
        <v>75</v>
      </c>
      <c r="Q40" s="47"/>
      <c r="R40" s="47"/>
      <c r="S40" s="46"/>
      <c r="T40" s="46"/>
      <c r="U40" s="46"/>
      <c r="V40" s="46"/>
    </row>
    <row r="41" spans="1:22" ht="11.25">
      <c r="A41" s="20"/>
      <c r="B41" s="22"/>
      <c r="C41" s="4"/>
      <c r="D41" s="48"/>
      <c r="E41" s="49"/>
      <c r="F41" s="50" t="s">
        <v>68</v>
      </c>
      <c r="G41" s="302">
        <v>0</v>
      </c>
      <c r="H41" s="303"/>
      <c r="I41" s="56"/>
      <c r="J41" s="302">
        <v>0</v>
      </c>
      <c r="K41" s="303"/>
      <c r="L41" s="56"/>
      <c r="M41" s="302">
        <v>0</v>
      </c>
      <c r="N41" s="304"/>
      <c r="O41"/>
      <c r="P41" s="46" t="s">
        <v>74</v>
      </c>
      <c r="Q41" s="47"/>
      <c r="R41" s="47"/>
      <c r="S41" s="46"/>
      <c r="T41" s="46"/>
      <c r="U41" s="46"/>
      <c r="V41" s="46"/>
    </row>
    <row r="42" spans="1:18" ht="11.25">
      <c r="A42" s="20"/>
      <c r="B42" s="4"/>
      <c r="C42" s="4"/>
      <c r="D42" s="4"/>
      <c r="E42" s="3"/>
      <c r="F42" s="3"/>
      <c r="G42" s="9"/>
      <c r="H42" s="9"/>
      <c r="I42" s="22"/>
      <c r="J42" s="9"/>
      <c r="K42" s="9"/>
      <c r="L42" s="22"/>
      <c r="M42" s="9"/>
      <c r="N42" s="26"/>
      <c r="O42"/>
      <c r="P42"/>
      <c r="Q42"/>
      <c r="R42"/>
    </row>
    <row r="43" spans="1:18" ht="11.25">
      <c r="A43" s="20"/>
      <c r="B43" s="22"/>
      <c r="C43" s="4"/>
      <c r="D43" s="4"/>
      <c r="E43" s="3"/>
      <c r="F43" s="29" t="s">
        <v>22</v>
      </c>
      <c r="G43" s="302">
        <f>+(G11+G18)/(G33+G34)</f>
        <v>915.1351351351351</v>
      </c>
      <c r="H43" s="303"/>
      <c r="I43" s="22"/>
      <c r="J43" s="302">
        <f>+(J11+J18)/(J33+J34)</f>
        <v>848.5</v>
      </c>
      <c r="K43" s="303"/>
      <c r="L43" s="22"/>
      <c r="M43" s="302">
        <f>+(M11+M18)/(M33+M34)</f>
        <v>1003.5294117647059</v>
      </c>
      <c r="N43" s="303"/>
      <c r="O43"/>
      <c r="P43" t="s">
        <v>32</v>
      </c>
      <c r="Q43"/>
      <c r="R43"/>
    </row>
    <row r="44" spans="1:18" ht="11.25">
      <c r="A44" s="20"/>
      <c r="B44" s="22"/>
      <c r="C44" s="4"/>
      <c r="D44" s="4"/>
      <c r="E44" s="3"/>
      <c r="F44" s="29" t="s">
        <v>216</v>
      </c>
      <c r="G44" s="332">
        <f>(G11+G18)/SUM(G33:H36)</f>
        <v>915.1351351351351</v>
      </c>
      <c r="H44" s="332"/>
      <c r="I44" s="22"/>
      <c r="J44" s="332">
        <f>(J11+J18)/SUM(J33:K36)</f>
        <v>848.5</v>
      </c>
      <c r="K44" s="332"/>
      <c r="L44" s="22"/>
      <c r="M44" s="332">
        <f>(M11+M18)/SUM(M33:N36)</f>
        <v>1003.5294117647059</v>
      </c>
      <c r="N44" s="332"/>
      <c r="O44"/>
      <c r="P44"/>
      <c r="Q44"/>
      <c r="R44"/>
    </row>
    <row r="45" spans="1:17" ht="11.25">
      <c r="A45" s="20"/>
      <c r="B45" s="4"/>
      <c r="C45" s="4"/>
      <c r="D45" s="4"/>
      <c r="E45" s="3"/>
      <c r="F45" s="3"/>
      <c r="G45" s="34" t="s">
        <v>24</v>
      </c>
      <c r="H45" s="34" t="s">
        <v>23</v>
      </c>
      <c r="I45" s="28"/>
      <c r="J45" s="34" t="s">
        <v>24</v>
      </c>
      <c r="K45" s="34" t="s">
        <v>23</v>
      </c>
      <c r="L45" s="28"/>
      <c r="M45" s="34" t="s">
        <v>24</v>
      </c>
      <c r="N45" s="35" t="s">
        <v>23</v>
      </c>
      <c r="O45" s="14"/>
      <c r="P45" s="13"/>
      <c r="Q45" s="31"/>
    </row>
    <row r="46" spans="1:22" ht="11.25">
      <c r="A46" s="20"/>
      <c r="B46" s="4"/>
      <c r="C46" s="4"/>
      <c r="D46" s="52"/>
      <c r="E46" s="53"/>
      <c r="F46" s="54" t="s">
        <v>25</v>
      </c>
      <c r="G46" s="76">
        <v>2.5</v>
      </c>
      <c r="H46" s="32">
        <f>G46/SUM($G$46:$G$49)</f>
        <v>1</v>
      </c>
      <c r="I46" s="28"/>
      <c r="J46" s="76">
        <v>2.5</v>
      </c>
      <c r="K46" s="32">
        <f>J46/SUM($J$46:$J$49)</f>
        <v>1</v>
      </c>
      <c r="L46" s="28"/>
      <c r="M46" s="76">
        <v>2.5</v>
      </c>
      <c r="N46" s="36">
        <f>M46/SUM($M$46:$M$49)</f>
        <v>1</v>
      </c>
      <c r="O46" s="14"/>
      <c r="P46" s="55" t="s">
        <v>84</v>
      </c>
      <c r="Q46" s="51"/>
      <c r="R46" s="55"/>
      <c r="S46" s="55"/>
      <c r="T46" s="55"/>
      <c r="U46" s="55"/>
      <c r="V46" s="55"/>
    </row>
    <row r="47" spans="1:22" ht="11.25">
      <c r="A47" s="20"/>
      <c r="B47" s="4"/>
      <c r="C47" s="4"/>
      <c r="D47" s="52"/>
      <c r="E47" s="53"/>
      <c r="F47" s="54" t="s">
        <v>13</v>
      </c>
      <c r="G47" s="76">
        <v>0</v>
      </c>
      <c r="H47" s="32">
        <f aca="true" t="shared" si="0" ref="H47:H49">G47/SUM($G$46:$G$49)</f>
        <v>0</v>
      </c>
      <c r="I47" s="28"/>
      <c r="J47" s="76">
        <v>0</v>
      </c>
      <c r="K47" s="32">
        <f aca="true" t="shared" si="1" ref="K47:K49">J47/SUM($J$46:$J$49)</f>
        <v>0</v>
      </c>
      <c r="L47" s="28"/>
      <c r="M47" s="76">
        <v>0</v>
      </c>
      <c r="N47" s="36">
        <f aca="true" t="shared" si="2" ref="N47:N49">M47/SUM($M$46:$M$49)</f>
        <v>0</v>
      </c>
      <c r="O47" s="14"/>
      <c r="P47" s="55" t="s">
        <v>84</v>
      </c>
      <c r="Q47" s="51"/>
      <c r="R47" s="55"/>
      <c r="S47" s="55"/>
      <c r="T47" s="55"/>
      <c r="U47" s="55"/>
      <c r="V47" s="55"/>
    </row>
    <row r="48" spans="1:22" ht="11.25">
      <c r="A48" s="20"/>
      <c r="B48" s="4"/>
      <c r="C48" s="4"/>
      <c r="D48" s="52"/>
      <c r="E48" s="53"/>
      <c r="F48" s="54" t="s">
        <v>51</v>
      </c>
      <c r="G48" s="76">
        <v>0</v>
      </c>
      <c r="H48" s="32">
        <f t="shared" si="0"/>
        <v>0</v>
      </c>
      <c r="I48" s="28"/>
      <c r="J48" s="76">
        <v>0</v>
      </c>
      <c r="K48" s="32">
        <f t="shared" si="1"/>
        <v>0</v>
      </c>
      <c r="L48" s="28"/>
      <c r="M48" s="76">
        <v>0</v>
      </c>
      <c r="N48" s="36">
        <f t="shared" si="2"/>
        <v>0</v>
      </c>
      <c r="O48" s="14"/>
      <c r="P48" s="55" t="s">
        <v>85</v>
      </c>
      <c r="Q48" s="51"/>
      <c r="R48" s="55"/>
      <c r="S48" s="55"/>
      <c r="T48" s="55"/>
      <c r="U48" s="55"/>
      <c r="V48" s="55"/>
    </row>
    <row r="49" spans="1:22" ht="11.25">
      <c r="A49" s="20"/>
      <c r="B49" s="4"/>
      <c r="C49" s="4"/>
      <c r="D49" s="52"/>
      <c r="E49" s="53"/>
      <c r="F49" s="54" t="s">
        <v>52</v>
      </c>
      <c r="G49" s="76">
        <v>0</v>
      </c>
      <c r="H49" s="32">
        <f t="shared" si="0"/>
        <v>0</v>
      </c>
      <c r="I49" s="28"/>
      <c r="J49" s="76">
        <v>0</v>
      </c>
      <c r="K49" s="32">
        <f t="shared" si="1"/>
        <v>0</v>
      </c>
      <c r="L49" s="28"/>
      <c r="M49" s="76">
        <v>0</v>
      </c>
      <c r="N49" s="36">
        <f t="shared" si="2"/>
        <v>0</v>
      </c>
      <c r="O49" s="14"/>
      <c r="P49" s="55" t="s">
        <v>85</v>
      </c>
      <c r="Q49" s="51"/>
      <c r="R49" s="55"/>
      <c r="S49" s="55"/>
      <c r="T49" s="55"/>
      <c r="U49" s="55"/>
      <c r="V49" s="55"/>
    </row>
    <row r="50" spans="1:14" ht="11.25">
      <c r="A50" s="21" t="s">
        <v>4</v>
      </c>
      <c r="B50" s="22"/>
      <c r="C50" s="4"/>
      <c r="D50" s="4"/>
      <c r="E50" s="3"/>
      <c r="F50" s="3"/>
      <c r="G50" s="8"/>
      <c r="H50" s="8"/>
      <c r="I50" s="3"/>
      <c r="J50" s="8"/>
      <c r="K50" s="8"/>
      <c r="L50" s="3"/>
      <c r="M50" s="8"/>
      <c r="N50" s="25"/>
    </row>
    <row r="51" spans="1:16" ht="11.25">
      <c r="A51" s="21"/>
      <c r="B51" s="22"/>
      <c r="C51" s="4"/>
      <c r="D51" s="4"/>
      <c r="E51" s="3"/>
      <c r="F51" s="63" t="s">
        <v>77</v>
      </c>
      <c r="G51" s="293">
        <v>0.884</v>
      </c>
      <c r="H51" s="294"/>
      <c r="I51" s="72"/>
      <c r="J51" s="293">
        <v>0.869</v>
      </c>
      <c r="K51" s="294"/>
      <c r="L51" s="72"/>
      <c r="M51" s="293">
        <v>0.895</v>
      </c>
      <c r="N51" s="295"/>
      <c r="P51" s="10" t="s">
        <v>87</v>
      </c>
    </row>
    <row r="52" spans="1:16" ht="11.25">
      <c r="A52" s="21"/>
      <c r="B52" s="22"/>
      <c r="C52" s="4"/>
      <c r="D52" s="4"/>
      <c r="E52" s="3"/>
      <c r="F52" s="63" t="s">
        <v>76</v>
      </c>
      <c r="G52" s="293">
        <v>0.11</v>
      </c>
      <c r="H52" s="294"/>
      <c r="I52" s="72"/>
      <c r="J52" s="293">
        <v>0.144</v>
      </c>
      <c r="K52" s="294"/>
      <c r="L52" s="72"/>
      <c r="M52" s="293">
        <v>0.108</v>
      </c>
      <c r="N52" s="295"/>
      <c r="P52" s="10" t="s">
        <v>79</v>
      </c>
    </row>
    <row r="53" spans="1:16" ht="11" customHeight="1">
      <c r="A53" s="20"/>
      <c r="B53" s="23"/>
      <c r="C53" s="4"/>
      <c r="D53" s="4"/>
      <c r="E53" s="3"/>
      <c r="F53" s="29" t="s">
        <v>10</v>
      </c>
      <c r="G53" s="296">
        <v>0</v>
      </c>
      <c r="H53" s="297"/>
      <c r="I53" s="3"/>
      <c r="J53" s="296">
        <v>0</v>
      </c>
      <c r="K53" s="297"/>
      <c r="L53" s="3"/>
      <c r="M53" s="296">
        <v>0</v>
      </c>
      <c r="N53" s="298"/>
      <c r="P53" s="10" t="s">
        <v>34</v>
      </c>
    </row>
    <row r="54" spans="1:16" ht="11.25">
      <c r="A54" s="20"/>
      <c r="B54" s="23"/>
      <c r="C54" s="4"/>
      <c r="D54" s="4"/>
      <c r="E54" s="3"/>
      <c r="F54" s="29" t="s">
        <v>8</v>
      </c>
      <c r="G54" s="296">
        <v>35</v>
      </c>
      <c r="H54" s="297"/>
      <c r="I54" s="14"/>
      <c r="J54" s="296">
        <v>26</v>
      </c>
      <c r="K54" s="297"/>
      <c r="L54" s="14"/>
      <c r="M54" s="296">
        <v>47</v>
      </c>
      <c r="N54" s="298"/>
      <c r="P54" s="10" t="s">
        <v>36</v>
      </c>
    </row>
    <row r="55" spans="1:16" ht="11.25">
      <c r="A55" s="20"/>
      <c r="B55" s="23"/>
      <c r="C55" s="4"/>
      <c r="D55" s="4"/>
      <c r="E55" s="3"/>
      <c r="F55" s="42" t="s">
        <v>11</v>
      </c>
      <c r="G55" s="296">
        <v>26.9</v>
      </c>
      <c r="H55" s="297"/>
      <c r="I55" s="3"/>
      <c r="J55" s="296">
        <v>24</v>
      </c>
      <c r="K55" s="297"/>
      <c r="L55" s="3"/>
      <c r="M55" s="296">
        <v>25.7</v>
      </c>
      <c r="N55" s="298"/>
      <c r="P55" s="10" t="s">
        <v>42</v>
      </c>
    </row>
    <row r="56" spans="1:19" ht="11.25">
      <c r="A56" s="20"/>
      <c r="B56" s="22"/>
      <c r="C56" s="4"/>
      <c r="D56" s="4"/>
      <c r="E56" s="3"/>
      <c r="F56" s="29" t="s">
        <v>9</v>
      </c>
      <c r="G56" s="293">
        <v>0.7</v>
      </c>
      <c r="H56" s="294"/>
      <c r="I56" s="3"/>
      <c r="J56" s="293">
        <v>0.75</v>
      </c>
      <c r="K56" s="294"/>
      <c r="L56" s="3"/>
      <c r="M56" s="293">
        <v>0.76</v>
      </c>
      <c r="N56" s="295"/>
      <c r="P56" s="10" t="s">
        <v>37</v>
      </c>
      <c r="Q56"/>
      <c r="R56"/>
      <c r="S56"/>
    </row>
    <row r="57" spans="1:19" ht="11.25">
      <c r="A57" s="20"/>
      <c r="B57" s="22"/>
      <c r="C57" s="4"/>
      <c r="D57" s="4"/>
      <c r="E57" s="27"/>
      <c r="F57" s="29" t="s">
        <v>12</v>
      </c>
      <c r="G57" s="296">
        <v>0</v>
      </c>
      <c r="H57" s="297"/>
      <c r="I57" s="28"/>
      <c r="J57" s="296">
        <v>0</v>
      </c>
      <c r="K57" s="297"/>
      <c r="L57" s="28"/>
      <c r="M57" s="296">
        <v>0</v>
      </c>
      <c r="N57" s="298"/>
      <c r="P57" s="10" t="s">
        <v>38</v>
      </c>
      <c r="Q57"/>
      <c r="R57"/>
      <c r="S57"/>
    </row>
    <row r="58" spans="1:19" ht="11.25">
      <c r="A58" s="20"/>
      <c r="B58" s="22"/>
      <c r="C58" s="4"/>
      <c r="D58" s="4"/>
      <c r="E58" s="3"/>
      <c r="F58" s="29" t="s">
        <v>19</v>
      </c>
      <c r="G58" s="293">
        <v>0.2</v>
      </c>
      <c r="H58" s="294"/>
      <c r="I58" s="28"/>
      <c r="J58" s="293">
        <v>0.188</v>
      </c>
      <c r="K58" s="294"/>
      <c r="L58" s="28"/>
      <c r="M58" s="293">
        <v>0.083</v>
      </c>
      <c r="N58" s="295"/>
      <c r="P58" s="10" t="s">
        <v>39</v>
      </c>
      <c r="Q58"/>
      <c r="R58"/>
      <c r="S58"/>
    </row>
    <row r="59" spans="1:19" ht="11.25">
      <c r="A59" s="20"/>
      <c r="B59" s="22"/>
      <c r="C59" s="4"/>
      <c r="D59" s="4"/>
      <c r="E59" s="3"/>
      <c r="F59" s="29" t="s">
        <v>0</v>
      </c>
      <c r="G59" s="293">
        <v>0.195</v>
      </c>
      <c r="H59" s="294"/>
      <c r="I59" s="28"/>
      <c r="J59" s="293">
        <v>0.106</v>
      </c>
      <c r="K59" s="294"/>
      <c r="L59" s="28"/>
      <c r="M59" s="293">
        <v>-0.163</v>
      </c>
      <c r="N59" s="295"/>
      <c r="P59" s="10" t="s">
        <v>40</v>
      </c>
      <c r="Q59"/>
      <c r="R59"/>
      <c r="S59"/>
    </row>
    <row r="60" spans="1:14" ht="11.25">
      <c r="A60" s="21" t="s">
        <v>1</v>
      </c>
      <c r="B60" s="28"/>
      <c r="C60" s="28"/>
      <c r="D60" s="28"/>
      <c r="E60" s="28"/>
      <c r="F60" s="28"/>
      <c r="G60" s="28"/>
      <c r="H60" s="28"/>
      <c r="I60" s="28"/>
      <c r="J60" s="28"/>
      <c r="K60" s="28"/>
      <c r="L60" s="28"/>
      <c r="M60" s="28"/>
      <c r="N60" s="33"/>
    </row>
    <row r="61" spans="1:16" ht="11.25">
      <c r="A61" s="37" t="s">
        <v>98</v>
      </c>
      <c r="B61" s="28"/>
      <c r="C61" s="28"/>
      <c r="D61" s="28"/>
      <c r="E61" s="28"/>
      <c r="F61" s="28"/>
      <c r="G61" s="28"/>
      <c r="H61" s="28"/>
      <c r="I61" s="28"/>
      <c r="J61" s="28"/>
      <c r="K61" s="28"/>
      <c r="L61" s="28"/>
      <c r="M61" s="28"/>
      <c r="N61" s="33"/>
      <c r="P61" t="s">
        <v>35</v>
      </c>
    </row>
    <row r="62" spans="1:14" ht="11.25">
      <c r="A62" s="38"/>
      <c r="B62" s="23"/>
      <c r="C62" s="23"/>
      <c r="D62" s="23"/>
      <c r="E62" s="23"/>
      <c r="F62" s="23"/>
      <c r="G62" s="23"/>
      <c r="H62" s="23"/>
      <c r="I62" s="23"/>
      <c r="J62" s="23"/>
      <c r="K62" s="23"/>
      <c r="L62" s="23"/>
      <c r="M62" s="23"/>
      <c r="N62" s="24"/>
    </row>
    <row r="63" spans="1:14" ht="11.25">
      <c r="A63" s="38" t="s">
        <v>107</v>
      </c>
      <c r="B63" s="23"/>
      <c r="C63" s="23"/>
      <c r="D63" s="23"/>
      <c r="E63" s="23"/>
      <c r="F63" s="23"/>
      <c r="G63" s="23"/>
      <c r="H63" s="23"/>
      <c r="I63" s="23"/>
      <c r="J63" s="23"/>
      <c r="K63" s="23"/>
      <c r="L63" s="23"/>
      <c r="M63" s="23"/>
      <c r="N63" s="24"/>
    </row>
    <row r="64" spans="1:16" ht="11.25">
      <c r="A64" s="38"/>
      <c r="B64" s="23"/>
      <c r="C64" s="23"/>
      <c r="D64" s="23"/>
      <c r="E64" s="23"/>
      <c r="F64" s="23"/>
      <c r="G64" s="23"/>
      <c r="H64" s="23"/>
      <c r="I64" s="23"/>
      <c r="J64" s="23"/>
      <c r="K64" s="23"/>
      <c r="L64" s="23"/>
      <c r="M64" s="23"/>
      <c r="N64" s="24"/>
      <c r="P64" s="44" t="s">
        <v>41</v>
      </c>
    </row>
    <row r="65" spans="1:14" ht="11.25">
      <c r="A65" s="38"/>
      <c r="B65" s="23"/>
      <c r="C65" s="23"/>
      <c r="D65" s="23"/>
      <c r="E65" s="23"/>
      <c r="F65" s="23"/>
      <c r="G65" s="23"/>
      <c r="H65" s="23"/>
      <c r="I65" s="23"/>
      <c r="J65" s="23"/>
      <c r="K65" s="23"/>
      <c r="L65" s="23"/>
      <c r="M65" s="23"/>
      <c r="N65" s="24"/>
    </row>
    <row r="66" spans="1:14" ht="12.75" thickBot="1">
      <c r="A66" s="39"/>
      <c r="B66" s="40"/>
      <c r="C66" s="40"/>
      <c r="D66" s="40"/>
      <c r="E66" s="40"/>
      <c r="F66" s="40"/>
      <c r="G66" s="40"/>
      <c r="H66" s="40"/>
      <c r="I66" s="40"/>
      <c r="J66" s="40"/>
      <c r="K66" s="40"/>
      <c r="L66" s="40"/>
      <c r="M66" s="40"/>
      <c r="N66" s="41"/>
    </row>
  </sheetData>
  <mergeCells count="122">
    <mergeCell ref="G5:H5"/>
    <mergeCell ref="G6:H6"/>
    <mergeCell ref="G7:H7"/>
    <mergeCell ref="G8:H8"/>
    <mergeCell ref="G9:H9"/>
    <mergeCell ref="J9:K9"/>
    <mergeCell ref="G2:N2"/>
    <mergeCell ref="G3:H3"/>
    <mergeCell ref="J3:K3"/>
    <mergeCell ref="M3:N3"/>
    <mergeCell ref="G4:H4"/>
    <mergeCell ref="J4:K4"/>
    <mergeCell ref="M4:N4"/>
    <mergeCell ref="G13:H13"/>
    <mergeCell ref="J13:K13"/>
    <mergeCell ref="M13:N13"/>
    <mergeCell ref="G14:H14"/>
    <mergeCell ref="J14:K14"/>
    <mergeCell ref="M14:N14"/>
    <mergeCell ref="M9:N9"/>
    <mergeCell ref="G11:H11"/>
    <mergeCell ref="J11:K11"/>
    <mergeCell ref="M11:N11"/>
    <mergeCell ref="G12:H12"/>
    <mergeCell ref="J12:K12"/>
    <mergeCell ref="M12:N12"/>
    <mergeCell ref="G18:H18"/>
    <mergeCell ref="J18:K18"/>
    <mergeCell ref="M18:N18"/>
    <mergeCell ref="G19:H19"/>
    <mergeCell ref="J19:K19"/>
    <mergeCell ref="M19:N19"/>
    <mergeCell ref="G15:H15"/>
    <mergeCell ref="J15:K15"/>
    <mergeCell ref="M15:N15"/>
    <mergeCell ref="G16:H16"/>
    <mergeCell ref="J16:K16"/>
    <mergeCell ref="M16:N16"/>
    <mergeCell ref="G22:H22"/>
    <mergeCell ref="J22:K22"/>
    <mergeCell ref="M22:N22"/>
    <mergeCell ref="G24:H24"/>
    <mergeCell ref="J24:K24"/>
    <mergeCell ref="M24:N24"/>
    <mergeCell ref="G20:H20"/>
    <mergeCell ref="J20:K20"/>
    <mergeCell ref="M20:N20"/>
    <mergeCell ref="G21:H21"/>
    <mergeCell ref="J21:K21"/>
    <mergeCell ref="M21:N21"/>
    <mergeCell ref="G28:H28"/>
    <mergeCell ref="J28:K28"/>
    <mergeCell ref="M28:N28"/>
    <mergeCell ref="G29:H29"/>
    <mergeCell ref="J29:K29"/>
    <mergeCell ref="M29:N29"/>
    <mergeCell ref="G25:H25"/>
    <mergeCell ref="J25:K25"/>
    <mergeCell ref="M25:N25"/>
    <mergeCell ref="G27:H27"/>
    <mergeCell ref="J27:K27"/>
    <mergeCell ref="M27:N27"/>
    <mergeCell ref="G34:H34"/>
    <mergeCell ref="J34:K34"/>
    <mergeCell ref="M34:N34"/>
    <mergeCell ref="G35:H35"/>
    <mergeCell ref="J35:K35"/>
    <mergeCell ref="M35:N35"/>
    <mergeCell ref="G31:H31"/>
    <mergeCell ref="J31:K31"/>
    <mergeCell ref="M31:N31"/>
    <mergeCell ref="G33:H33"/>
    <mergeCell ref="J33:K33"/>
    <mergeCell ref="M33:N33"/>
    <mergeCell ref="G39:H39"/>
    <mergeCell ref="J39:K39"/>
    <mergeCell ref="M39:N39"/>
    <mergeCell ref="G40:H40"/>
    <mergeCell ref="J40:K40"/>
    <mergeCell ref="M40:N40"/>
    <mergeCell ref="G36:H36"/>
    <mergeCell ref="J36:K36"/>
    <mergeCell ref="M36:N36"/>
    <mergeCell ref="G38:H38"/>
    <mergeCell ref="J38:K38"/>
    <mergeCell ref="M38:N38"/>
    <mergeCell ref="G51:H51"/>
    <mergeCell ref="J51:K51"/>
    <mergeCell ref="M51:N51"/>
    <mergeCell ref="G52:H52"/>
    <mergeCell ref="J52:K52"/>
    <mergeCell ref="M52:N52"/>
    <mergeCell ref="G41:H41"/>
    <mergeCell ref="J41:K41"/>
    <mergeCell ref="M41:N41"/>
    <mergeCell ref="G43:H43"/>
    <mergeCell ref="J43:K43"/>
    <mergeCell ref="M43:N43"/>
    <mergeCell ref="G59:H59"/>
    <mergeCell ref="J59:K59"/>
    <mergeCell ref="M59:N59"/>
    <mergeCell ref="G44:H44"/>
    <mergeCell ref="J44:K44"/>
    <mergeCell ref="M44:N44"/>
    <mergeCell ref="G57:H57"/>
    <mergeCell ref="J57:K57"/>
    <mergeCell ref="M57:N57"/>
    <mergeCell ref="G58:H58"/>
    <mergeCell ref="J58:K58"/>
    <mergeCell ref="M58:N58"/>
    <mergeCell ref="G55:H55"/>
    <mergeCell ref="J55:K55"/>
    <mergeCell ref="M55:N55"/>
    <mergeCell ref="G56:H56"/>
    <mergeCell ref="J56:K56"/>
    <mergeCell ref="M56:N56"/>
    <mergeCell ref="G53:H53"/>
    <mergeCell ref="J53:K53"/>
    <mergeCell ref="M53:N53"/>
    <mergeCell ref="G54:H54"/>
    <mergeCell ref="J54:K54"/>
    <mergeCell ref="M54:N54"/>
  </mergeCells>
  <printOptions/>
  <pageMargins left="0.25" right="0.25" top="0.75" bottom="0.75" header="0.3" footer="0.3"/>
  <pageSetup fitToHeight="1" fitToWidth="1" horizontalDpi="1200" verticalDpi="1200" orientation="portrait" scale="94" r:id="rId3"/>
  <colBreaks count="1" manualBreakCount="1">
    <brk id="14" max="16383" man="1"/>
  </colBreak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V66"/>
  <sheetViews>
    <sheetView showGridLines="0" workbookViewId="0" topLeftCell="A18">
      <selection activeCell="M43" sqref="M43:N43"/>
    </sheetView>
  </sheetViews>
  <sheetFormatPr defaultColWidth="9.00390625" defaultRowHeight="11.25"/>
  <cols>
    <col min="1" max="1" width="4.625" style="1" customWidth="1"/>
    <col min="2" max="5" width="9.00390625" style="1" customWidth="1"/>
    <col min="6" max="6" width="7.125" style="1" customWidth="1"/>
    <col min="7" max="8" width="9.125" style="1" customWidth="1"/>
    <col min="9" max="9" width="1.75390625" style="1" customWidth="1"/>
    <col min="10" max="11" width="9.125" style="1" customWidth="1"/>
    <col min="12" max="12" width="1.75390625" style="1" customWidth="1"/>
    <col min="13" max="14" width="9.125" style="1" customWidth="1"/>
    <col min="15" max="15" width="3.75390625" style="10" customWidth="1"/>
    <col min="16" max="16384" width="9.00390625" style="10" customWidth="1"/>
  </cols>
  <sheetData>
    <row r="1" spans="1:14" s="12" customFormat="1" ht="11.25">
      <c r="A1" s="17" t="s">
        <v>88</v>
      </c>
      <c r="B1" s="18"/>
      <c r="C1" s="18"/>
      <c r="D1" s="18"/>
      <c r="E1" s="18"/>
      <c r="F1" s="18"/>
      <c r="G1" s="18"/>
      <c r="H1" s="18"/>
      <c r="I1" s="18"/>
      <c r="J1" s="18"/>
      <c r="K1" s="18"/>
      <c r="L1" s="18"/>
      <c r="M1" s="18"/>
      <c r="N1" s="19"/>
    </row>
    <row r="2" spans="1:16" s="12" customFormat="1" ht="11.25">
      <c r="A2" s="20" t="s">
        <v>89</v>
      </c>
      <c r="B2" s="15"/>
      <c r="C2" s="15"/>
      <c r="D2" s="15"/>
      <c r="E2" s="15"/>
      <c r="F2" s="15"/>
      <c r="G2" s="328" t="s">
        <v>26</v>
      </c>
      <c r="H2" s="328"/>
      <c r="I2" s="328"/>
      <c r="J2" s="328"/>
      <c r="K2" s="328"/>
      <c r="L2" s="328"/>
      <c r="M2" s="328"/>
      <c r="N2" s="329"/>
      <c r="P2" s="43" t="s">
        <v>27</v>
      </c>
    </row>
    <row r="3" spans="1:14" ht="11.25">
      <c r="A3" s="45"/>
      <c r="B3" s="2"/>
      <c r="C3" s="2"/>
      <c r="D3" s="2"/>
      <c r="E3" s="2"/>
      <c r="F3" s="16" t="s">
        <v>14</v>
      </c>
      <c r="G3" s="330">
        <v>19</v>
      </c>
      <c r="H3" s="327"/>
      <c r="I3" s="2"/>
      <c r="J3" s="330">
        <v>18</v>
      </c>
      <c r="K3" s="327"/>
      <c r="L3" s="2"/>
      <c r="M3" s="330">
        <v>17</v>
      </c>
      <c r="N3" s="331"/>
    </row>
    <row r="4" spans="1:14" ht="11.25">
      <c r="A4" s="20"/>
      <c r="B4" s="2"/>
      <c r="C4" s="2"/>
      <c r="D4" s="2"/>
      <c r="E4" s="2"/>
      <c r="F4" s="16" t="s">
        <v>15</v>
      </c>
      <c r="G4" s="330" t="s">
        <v>80</v>
      </c>
      <c r="H4" s="327"/>
      <c r="I4" s="2"/>
      <c r="J4" s="330" t="s">
        <v>81</v>
      </c>
      <c r="K4" s="327"/>
      <c r="L4" s="2"/>
      <c r="M4" s="330" t="s">
        <v>82</v>
      </c>
      <c r="N4" s="331"/>
    </row>
    <row r="5" spans="1:14" ht="11.25">
      <c r="A5" s="20"/>
      <c r="B5" s="2"/>
      <c r="C5" s="2"/>
      <c r="D5" s="2"/>
      <c r="E5" s="2"/>
      <c r="F5" s="16" t="s">
        <v>16</v>
      </c>
      <c r="G5" s="321" t="s">
        <v>95</v>
      </c>
      <c r="H5" s="322"/>
      <c r="I5" s="2"/>
      <c r="J5" s="28"/>
      <c r="K5" s="28"/>
      <c r="L5" s="28"/>
      <c r="M5" s="28"/>
      <c r="N5" s="33"/>
    </row>
    <row r="6" spans="1:14" ht="11.25">
      <c r="A6" s="20"/>
      <c r="B6" s="2"/>
      <c r="C6" s="2"/>
      <c r="D6" s="2"/>
      <c r="E6" s="2"/>
      <c r="F6" s="16" t="s">
        <v>17</v>
      </c>
      <c r="G6" s="323" t="s">
        <v>108</v>
      </c>
      <c r="H6" s="323"/>
      <c r="I6" s="2"/>
      <c r="J6" s="28"/>
      <c r="K6" s="28"/>
      <c r="L6" s="28"/>
      <c r="M6" s="28"/>
      <c r="N6" s="33"/>
    </row>
    <row r="7" spans="1:14" ht="11.25">
      <c r="A7" s="20"/>
      <c r="B7" s="2"/>
      <c r="C7" s="2"/>
      <c r="D7" s="2"/>
      <c r="E7" s="2"/>
      <c r="F7" s="16" t="s">
        <v>33</v>
      </c>
      <c r="G7" s="324" t="s">
        <v>101</v>
      </c>
      <c r="H7" s="325"/>
      <c r="I7" s="2"/>
      <c r="J7" s="28"/>
      <c r="K7" s="28"/>
      <c r="L7" s="28"/>
      <c r="M7" s="28"/>
      <c r="N7" s="33"/>
    </row>
    <row r="8" spans="1:14" ht="11.25">
      <c r="A8" s="20"/>
      <c r="B8" s="2"/>
      <c r="C8" s="2"/>
      <c r="D8" s="2"/>
      <c r="E8" s="2"/>
      <c r="F8" s="16" t="s">
        <v>18</v>
      </c>
      <c r="G8" s="326">
        <v>43935</v>
      </c>
      <c r="H8" s="327"/>
      <c r="I8" s="2"/>
      <c r="J8" s="28"/>
      <c r="K8" s="28"/>
      <c r="L8" s="28"/>
      <c r="M8" s="28"/>
      <c r="N8" s="33"/>
    </row>
    <row r="9" spans="1:14" ht="12.75">
      <c r="A9" s="21" t="s">
        <v>2</v>
      </c>
      <c r="B9" s="22"/>
      <c r="C9" s="4"/>
      <c r="D9" s="4"/>
      <c r="E9" s="3"/>
      <c r="F9" s="3"/>
      <c r="G9" s="319"/>
      <c r="H9" s="319"/>
      <c r="I9" s="3"/>
      <c r="J9" s="319"/>
      <c r="K9" s="319"/>
      <c r="L9" s="3"/>
      <c r="M9" s="319"/>
      <c r="N9" s="320"/>
    </row>
    <row r="10" spans="1:15" ht="12.75">
      <c r="A10" s="20"/>
      <c r="B10" s="22" t="s">
        <v>56</v>
      </c>
      <c r="C10" s="4"/>
      <c r="D10" s="4"/>
      <c r="E10" s="3"/>
      <c r="F10" s="29"/>
      <c r="G10" s="58"/>
      <c r="H10" s="58"/>
      <c r="I10" s="5"/>
      <c r="J10" s="58"/>
      <c r="K10" s="58"/>
      <c r="L10" s="5"/>
      <c r="M10" s="58"/>
      <c r="N10" s="59"/>
      <c r="O10" s="11"/>
    </row>
    <row r="11" spans="1:16" ht="11.25">
      <c r="A11" s="20"/>
      <c r="B11" s="22"/>
      <c r="C11" s="6"/>
      <c r="D11" s="6"/>
      <c r="E11" s="7"/>
      <c r="F11" s="30" t="s">
        <v>7</v>
      </c>
      <c r="G11" s="313">
        <v>1632</v>
      </c>
      <c r="H11" s="314"/>
      <c r="I11" s="5"/>
      <c r="J11" s="313">
        <v>1610</v>
      </c>
      <c r="K11" s="314"/>
      <c r="L11" s="5"/>
      <c r="M11" s="313">
        <v>1018</v>
      </c>
      <c r="N11" s="315"/>
      <c r="P11" s="10" t="s">
        <v>28</v>
      </c>
    </row>
    <row r="12" spans="1:16" ht="12.75">
      <c r="A12" s="20"/>
      <c r="B12" s="22"/>
      <c r="C12" s="4"/>
      <c r="D12" s="4"/>
      <c r="E12" s="3"/>
      <c r="F12" s="29" t="s">
        <v>5</v>
      </c>
      <c r="G12" s="316">
        <v>0.266</v>
      </c>
      <c r="H12" s="317"/>
      <c r="I12" s="5"/>
      <c r="J12" s="316">
        <v>0.203</v>
      </c>
      <c r="K12" s="317"/>
      <c r="L12" s="5"/>
      <c r="M12" s="316">
        <v>0.519</v>
      </c>
      <c r="N12" s="318"/>
      <c r="O12" s="11"/>
      <c r="P12" s="10" t="s">
        <v>29</v>
      </c>
    </row>
    <row r="13" spans="1:16" ht="12.75">
      <c r="A13" s="20"/>
      <c r="B13" s="22"/>
      <c r="C13" s="4"/>
      <c r="D13" s="4"/>
      <c r="E13" s="3"/>
      <c r="F13" s="29" t="s">
        <v>53</v>
      </c>
      <c r="G13" s="313">
        <v>1</v>
      </c>
      <c r="H13" s="314"/>
      <c r="I13" s="5"/>
      <c r="J13" s="313">
        <v>1</v>
      </c>
      <c r="K13" s="314"/>
      <c r="L13" s="5"/>
      <c r="M13" s="313">
        <v>1</v>
      </c>
      <c r="N13" s="315"/>
      <c r="O13" s="11"/>
      <c r="P13" s="10" t="s">
        <v>71</v>
      </c>
    </row>
    <row r="14" spans="1:16" ht="12.75">
      <c r="A14" s="20"/>
      <c r="B14" s="22"/>
      <c r="C14" s="4"/>
      <c r="D14" s="4"/>
      <c r="E14" s="3"/>
      <c r="F14" s="29" t="s">
        <v>54</v>
      </c>
      <c r="G14" s="313">
        <v>77</v>
      </c>
      <c r="H14" s="314"/>
      <c r="I14" s="5"/>
      <c r="J14" s="313">
        <v>78</v>
      </c>
      <c r="K14" s="314"/>
      <c r="L14" s="5"/>
      <c r="M14" s="313">
        <v>100</v>
      </c>
      <c r="N14" s="315"/>
      <c r="O14" s="11"/>
      <c r="P14" s="10" t="s">
        <v>70</v>
      </c>
    </row>
    <row r="15" spans="1:16" ht="12.75">
      <c r="A15" s="20"/>
      <c r="B15" s="22"/>
      <c r="C15" s="4"/>
      <c r="D15" s="4"/>
      <c r="E15" s="3"/>
      <c r="F15" s="29" t="s">
        <v>55</v>
      </c>
      <c r="G15" s="313">
        <v>14</v>
      </c>
      <c r="H15" s="314"/>
      <c r="I15" s="5"/>
      <c r="J15" s="313">
        <v>11</v>
      </c>
      <c r="K15" s="314"/>
      <c r="L15" s="5"/>
      <c r="M15" s="313">
        <v>14</v>
      </c>
      <c r="N15" s="315"/>
      <c r="O15" s="11"/>
      <c r="P15" s="10" t="s">
        <v>69</v>
      </c>
    </row>
    <row r="16" spans="1:16" ht="12.75">
      <c r="A16" s="20"/>
      <c r="B16" s="22"/>
      <c r="C16" s="4"/>
      <c r="D16" s="4"/>
      <c r="E16" s="3"/>
      <c r="F16" s="29" t="s">
        <v>78</v>
      </c>
      <c r="G16" s="313">
        <v>50</v>
      </c>
      <c r="H16" s="314"/>
      <c r="I16" s="5"/>
      <c r="J16" s="313">
        <v>65</v>
      </c>
      <c r="K16" s="314"/>
      <c r="L16" s="5"/>
      <c r="M16" s="313">
        <v>76</v>
      </c>
      <c r="N16" s="315"/>
      <c r="O16" s="11"/>
      <c r="P16" s="10" t="s">
        <v>86</v>
      </c>
    </row>
    <row r="17" spans="1:15" ht="12.75">
      <c r="A17" s="20"/>
      <c r="B17" s="22" t="s">
        <v>57</v>
      </c>
      <c r="C17" s="4"/>
      <c r="D17" s="4"/>
      <c r="E17" s="3"/>
      <c r="F17" s="29"/>
      <c r="G17" s="58"/>
      <c r="H17" s="58"/>
      <c r="I17" s="5"/>
      <c r="J17" s="58"/>
      <c r="K17" s="58"/>
      <c r="L17" s="5"/>
      <c r="M17" s="58"/>
      <c r="N17" s="59"/>
      <c r="O17" s="11"/>
    </row>
    <row r="18" spans="1:16" ht="11.25">
      <c r="A18" s="20"/>
      <c r="B18" s="22"/>
      <c r="C18" s="6"/>
      <c r="D18" s="6"/>
      <c r="E18" s="7"/>
      <c r="F18" s="30" t="s">
        <v>7</v>
      </c>
      <c r="G18" s="313"/>
      <c r="H18" s="314"/>
      <c r="I18" s="5"/>
      <c r="J18" s="313"/>
      <c r="K18" s="314"/>
      <c r="L18" s="5"/>
      <c r="M18" s="313"/>
      <c r="N18" s="315"/>
      <c r="P18" s="10" t="s">
        <v>28</v>
      </c>
    </row>
    <row r="19" spans="1:16" ht="12.75">
      <c r="A19" s="20"/>
      <c r="B19" s="22"/>
      <c r="C19" s="4"/>
      <c r="D19" s="4"/>
      <c r="E19" s="3"/>
      <c r="F19" s="29" t="s">
        <v>5</v>
      </c>
      <c r="G19" s="316"/>
      <c r="H19" s="317"/>
      <c r="I19" s="5"/>
      <c r="J19" s="316"/>
      <c r="K19" s="317"/>
      <c r="L19" s="5"/>
      <c r="M19" s="316"/>
      <c r="N19" s="318"/>
      <c r="O19" s="11"/>
      <c r="P19" s="10" t="s">
        <v>29</v>
      </c>
    </row>
    <row r="20" spans="1:16" ht="12.75">
      <c r="A20" s="20"/>
      <c r="B20" s="22"/>
      <c r="C20" s="4"/>
      <c r="D20" s="4"/>
      <c r="E20" s="3"/>
      <c r="F20" s="29" t="s">
        <v>58</v>
      </c>
      <c r="G20" s="313"/>
      <c r="H20" s="314"/>
      <c r="I20" s="5"/>
      <c r="J20" s="313"/>
      <c r="K20" s="314"/>
      <c r="L20" s="5"/>
      <c r="M20" s="313"/>
      <c r="N20" s="315"/>
      <c r="O20" s="11"/>
      <c r="P20" s="10" t="s">
        <v>71</v>
      </c>
    </row>
    <row r="21" spans="1:16" ht="12.75">
      <c r="A21" s="20"/>
      <c r="B21" s="22"/>
      <c r="C21" s="4"/>
      <c r="D21" s="4"/>
      <c r="E21" s="3"/>
      <c r="F21" s="29" t="s">
        <v>59</v>
      </c>
      <c r="G21" s="313"/>
      <c r="H21" s="314"/>
      <c r="I21" s="5"/>
      <c r="J21" s="313"/>
      <c r="K21" s="314"/>
      <c r="L21" s="5"/>
      <c r="M21" s="313"/>
      <c r="N21" s="315"/>
      <c r="O21" s="11"/>
      <c r="P21" s="10" t="s">
        <v>83</v>
      </c>
    </row>
    <row r="22" spans="1:16" ht="12.75">
      <c r="A22" s="20"/>
      <c r="B22" s="22"/>
      <c r="C22" s="4"/>
      <c r="D22" s="4"/>
      <c r="E22" s="3"/>
      <c r="F22" s="29" t="s">
        <v>78</v>
      </c>
      <c r="G22" s="313"/>
      <c r="H22" s="314"/>
      <c r="I22" s="5"/>
      <c r="J22" s="313"/>
      <c r="K22" s="314"/>
      <c r="L22" s="5"/>
      <c r="M22" s="313"/>
      <c r="N22" s="315"/>
      <c r="O22" s="11"/>
      <c r="P22" s="10" t="s">
        <v>86</v>
      </c>
    </row>
    <row r="23" spans="1:14" ht="11.25">
      <c r="A23" s="20"/>
      <c r="B23" s="4" t="s">
        <v>6</v>
      </c>
      <c r="C23" s="4"/>
      <c r="D23" s="4"/>
      <c r="E23" s="3"/>
      <c r="F23" s="3"/>
      <c r="G23" s="23"/>
      <c r="H23" s="23"/>
      <c r="I23" s="5"/>
      <c r="J23" s="23"/>
      <c r="K23" s="23"/>
      <c r="L23" s="5"/>
      <c r="M23" s="23"/>
      <c r="N23" s="24"/>
    </row>
    <row r="24" spans="1:16" ht="11.25">
      <c r="A24" s="20"/>
      <c r="B24" s="22"/>
      <c r="C24" s="4"/>
      <c r="D24" s="4"/>
      <c r="E24" s="3"/>
      <c r="F24" s="29" t="s">
        <v>20</v>
      </c>
      <c r="G24" s="293">
        <v>0.73</v>
      </c>
      <c r="H24" s="294"/>
      <c r="I24" s="3"/>
      <c r="J24" s="293">
        <v>0.763</v>
      </c>
      <c r="K24" s="294"/>
      <c r="L24" s="3"/>
      <c r="M24" s="293">
        <v>0.772</v>
      </c>
      <c r="N24" s="295"/>
      <c r="P24" s="10" t="s">
        <v>30</v>
      </c>
    </row>
    <row r="25" spans="1:16" ht="11.25">
      <c r="A25" s="20"/>
      <c r="B25" s="22"/>
      <c r="C25" s="4"/>
      <c r="D25" s="4"/>
      <c r="E25" s="3"/>
      <c r="F25" s="29" t="s">
        <v>21</v>
      </c>
      <c r="G25" s="293">
        <v>0.27</v>
      </c>
      <c r="H25" s="294"/>
      <c r="I25" s="3"/>
      <c r="J25" s="293">
        <v>0.237</v>
      </c>
      <c r="K25" s="294"/>
      <c r="L25" s="3"/>
      <c r="M25" s="293">
        <v>0.228</v>
      </c>
      <c r="N25" s="295"/>
      <c r="P25" s="10" t="s">
        <v>31</v>
      </c>
    </row>
    <row r="26" spans="1:14" ht="11.25">
      <c r="A26" s="62" t="s">
        <v>60</v>
      </c>
      <c r="B26" s="22"/>
      <c r="C26" s="4"/>
      <c r="D26" s="4"/>
      <c r="E26" s="3"/>
      <c r="F26" s="29"/>
      <c r="G26" s="60"/>
      <c r="H26" s="60"/>
      <c r="I26" s="5"/>
      <c r="J26" s="60"/>
      <c r="K26" s="60"/>
      <c r="L26" s="5"/>
      <c r="M26" s="60"/>
      <c r="N26" s="61"/>
    </row>
    <row r="27" spans="1:16" ht="11.25">
      <c r="A27" s="20"/>
      <c r="B27" s="22"/>
      <c r="C27" s="4"/>
      <c r="D27" s="4"/>
      <c r="E27" s="3"/>
      <c r="F27" s="29" t="s">
        <v>61</v>
      </c>
      <c r="G27" s="313">
        <f>209661.03-G28</f>
        <v>181093.08</v>
      </c>
      <c r="H27" s="314"/>
      <c r="I27" s="5"/>
      <c r="J27" s="313">
        <f>126527.97-J28</f>
        <v>107258.59</v>
      </c>
      <c r="K27" s="314"/>
      <c r="L27" s="5"/>
      <c r="M27" s="313">
        <f>100776.83-M28</f>
        <v>95136.08</v>
      </c>
      <c r="N27" s="315"/>
      <c r="P27" s="10" t="s">
        <v>91</v>
      </c>
    </row>
    <row r="28" spans="1:16" ht="11.25">
      <c r="A28" s="20"/>
      <c r="B28" s="22"/>
      <c r="C28" s="4"/>
      <c r="D28" s="4"/>
      <c r="E28" s="3"/>
      <c r="F28" s="29" t="s">
        <v>62</v>
      </c>
      <c r="G28" s="313">
        <v>28567.95</v>
      </c>
      <c r="H28" s="314"/>
      <c r="I28" s="5"/>
      <c r="J28" s="313">
        <v>19269.38</v>
      </c>
      <c r="K28" s="314"/>
      <c r="L28" s="5"/>
      <c r="M28" s="313">
        <v>5640.75</v>
      </c>
      <c r="N28" s="315"/>
      <c r="P28" s="10" t="s">
        <v>91</v>
      </c>
    </row>
    <row r="29" spans="1:16" ht="11.25">
      <c r="A29" s="20"/>
      <c r="B29" s="22"/>
      <c r="C29" s="4"/>
      <c r="D29" s="4"/>
      <c r="E29" s="3"/>
      <c r="F29" s="29" t="s">
        <v>63</v>
      </c>
      <c r="G29" s="310">
        <v>56645.24</v>
      </c>
      <c r="H29" s="311"/>
      <c r="I29" s="5"/>
      <c r="J29" s="310">
        <v>31636.58</v>
      </c>
      <c r="K29" s="311"/>
      <c r="L29" s="5"/>
      <c r="M29" s="310">
        <v>25175.5</v>
      </c>
      <c r="N29" s="312"/>
      <c r="P29" s="10" t="s">
        <v>90</v>
      </c>
    </row>
    <row r="30" spans="1:14" ht="11.25">
      <c r="A30" s="20"/>
      <c r="B30" s="22"/>
      <c r="C30" s="4"/>
      <c r="D30" s="4"/>
      <c r="E30" s="3"/>
      <c r="F30" s="29"/>
      <c r="G30" s="73"/>
      <c r="H30" s="74"/>
      <c r="I30" s="5"/>
      <c r="J30" s="73"/>
      <c r="K30" s="74"/>
      <c r="L30" s="5"/>
      <c r="M30" s="73"/>
      <c r="N30" s="75"/>
    </row>
    <row r="31" spans="1:18" ht="11.25">
      <c r="A31" s="20"/>
      <c r="B31" s="4"/>
      <c r="C31" s="4"/>
      <c r="D31" s="4"/>
      <c r="E31" s="3"/>
      <c r="F31" s="63" t="s">
        <v>64</v>
      </c>
      <c r="G31" s="299">
        <f>(SUM(G27:G29))/(G11+G18)</f>
        <v>163.17786151960786</v>
      </c>
      <c r="H31" s="300"/>
      <c r="I31" s="22"/>
      <c r="J31" s="299">
        <f>SUM(J27:K29)/(J11+J18)</f>
        <v>98.238850931677</v>
      </c>
      <c r="K31" s="300"/>
      <c r="L31" s="22"/>
      <c r="M31" s="299">
        <f>SUM(M27:N29)/(M11+M18)</f>
        <v>123.72527504911592</v>
      </c>
      <c r="N31" s="301"/>
      <c r="O31"/>
      <c r="P31" t="s">
        <v>32</v>
      </c>
      <c r="Q31"/>
      <c r="R31"/>
    </row>
    <row r="32" spans="1:14" ht="11.25">
      <c r="A32" s="21" t="s">
        <v>3</v>
      </c>
      <c r="B32" s="22"/>
      <c r="C32" s="4"/>
      <c r="D32" s="4"/>
      <c r="E32" s="3"/>
      <c r="F32" s="3"/>
      <c r="G32" s="8"/>
      <c r="H32" s="8"/>
      <c r="I32" s="3"/>
      <c r="J32" s="8"/>
      <c r="K32" s="8"/>
      <c r="L32" s="3"/>
      <c r="M32" s="8"/>
      <c r="N32" s="25"/>
    </row>
    <row r="33" spans="1:22" ht="11.25">
      <c r="A33" s="20"/>
      <c r="B33" s="22"/>
      <c r="C33" s="4"/>
      <c r="D33" s="48"/>
      <c r="E33" s="49"/>
      <c r="F33" s="50" t="s">
        <v>43</v>
      </c>
      <c r="G33" s="302">
        <f>0.5+0.9</f>
        <v>1.4</v>
      </c>
      <c r="H33" s="303"/>
      <c r="I33" s="56"/>
      <c r="J33" s="302">
        <v>0.5</v>
      </c>
      <c r="K33" s="303"/>
      <c r="L33" s="56"/>
      <c r="M33" s="302">
        <v>0.1</v>
      </c>
      <c r="N33" s="304"/>
      <c r="O33"/>
      <c r="P33" s="46" t="s">
        <v>47</v>
      </c>
      <c r="Q33" s="47"/>
      <c r="R33" s="47"/>
      <c r="S33" s="46"/>
      <c r="T33" s="46"/>
      <c r="U33" s="46"/>
      <c r="V33" s="46"/>
    </row>
    <row r="34" spans="1:22" ht="11.25">
      <c r="A34" s="20"/>
      <c r="B34" s="22"/>
      <c r="C34" s="4"/>
      <c r="D34" s="48"/>
      <c r="E34" s="49"/>
      <c r="F34" s="50" t="s">
        <v>44</v>
      </c>
      <c r="G34" s="302">
        <f>1.9/36*45</f>
        <v>2.375</v>
      </c>
      <c r="H34" s="303"/>
      <c r="I34" s="56"/>
      <c r="J34" s="302">
        <f>2.1/36*45</f>
        <v>2.625</v>
      </c>
      <c r="K34" s="303"/>
      <c r="L34" s="56"/>
      <c r="M34" s="302">
        <f>0.5/36*45</f>
        <v>0.625</v>
      </c>
      <c r="N34" s="304"/>
      <c r="O34"/>
      <c r="P34" s="46" t="s">
        <v>48</v>
      </c>
      <c r="Q34" s="47"/>
      <c r="R34" s="47"/>
      <c r="S34" s="46"/>
      <c r="T34" s="46"/>
      <c r="U34" s="46"/>
      <c r="V34" s="46"/>
    </row>
    <row r="35" spans="1:22" ht="11.25">
      <c r="A35" s="20"/>
      <c r="B35" s="22"/>
      <c r="C35" s="4"/>
      <c r="D35" s="48"/>
      <c r="E35" s="49"/>
      <c r="F35" s="50" t="s">
        <v>45</v>
      </c>
      <c r="G35" s="307">
        <f>1.1/36*45</f>
        <v>1.375</v>
      </c>
      <c r="H35" s="308"/>
      <c r="I35" s="56"/>
      <c r="J35" s="307">
        <f>0.5/36*45</f>
        <v>0.625</v>
      </c>
      <c r="K35" s="308"/>
      <c r="L35" s="56"/>
      <c r="M35" s="307">
        <f>1/36*45</f>
        <v>1.25</v>
      </c>
      <c r="N35" s="309"/>
      <c r="O35"/>
      <c r="P35" s="46" t="s">
        <v>50</v>
      </c>
      <c r="Q35" s="47"/>
      <c r="R35" s="47"/>
      <c r="S35" s="46"/>
      <c r="T35" s="46"/>
      <c r="U35" s="46"/>
      <c r="V35" s="46"/>
    </row>
    <row r="36" spans="1:22" ht="11.25">
      <c r="A36" s="20"/>
      <c r="B36" s="22"/>
      <c r="C36" s="4"/>
      <c r="D36" s="48"/>
      <c r="E36" s="49"/>
      <c r="F36" s="50" t="s">
        <v>46</v>
      </c>
      <c r="G36" s="305">
        <v>0</v>
      </c>
      <c r="H36" s="305"/>
      <c r="I36" s="56"/>
      <c r="J36" s="305">
        <v>0</v>
      </c>
      <c r="K36" s="305"/>
      <c r="L36" s="56"/>
      <c r="M36" s="305">
        <v>0</v>
      </c>
      <c r="N36" s="306"/>
      <c r="O36"/>
      <c r="P36" s="46" t="s">
        <v>49</v>
      </c>
      <c r="Q36" s="47"/>
      <c r="R36" s="47"/>
      <c r="S36" s="46"/>
      <c r="T36" s="46"/>
      <c r="U36" s="46"/>
      <c r="V36" s="46"/>
    </row>
    <row r="37" spans="1:18" s="69" customFormat="1" ht="11.25">
      <c r="A37" s="64"/>
      <c r="B37" s="65"/>
      <c r="C37" s="66"/>
      <c r="D37" s="66"/>
      <c r="E37" s="5"/>
      <c r="F37" s="67"/>
      <c r="G37" s="70"/>
      <c r="H37" s="70"/>
      <c r="I37" s="68"/>
      <c r="J37" s="70"/>
      <c r="K37" s="70"/>
      <c r="L37" s="68"/>
      <c r="M37" s="70"/>
      <c r="N37" s="71"/>
      <c r="O37" s="12"/>
      <c r="Q37" s="12"/>
      <c r="R37" s="12"/>
    </row>
    <row r="38" spans="1:22" ht="11.25">
      <c r="A38" s="20"/>
      <c r="B38" s="22"/>
      <c r="C38" s="4"/>
      <c r="D38" s="48"/>
      <c r="E38" s="49"/>
      <c r="F38" s="50" t="s">
        <v>66</v>
      </c>
      <c r="G38" s="305">
        <f>221+315</f>
        <v>536</v>
      </c>
      <c r="H38" s="305"/>
      <c r="I38" s="56"/>
      <c r="J38" s="305">
        <v>284</v>
      </c>
      <c r="K38" s="305"/>
      <c r="L38" s="56"/>
      <c r="M38" s="305">
        <v>56</v>
      </c>
      <c r="N38" s="306"/>
      <c r="O38"/>
      <c r="P38" s="46" t="s">
        <v>72</v>
      </c>
      <c r="Q38" s="47"/>
      <c r="R38" s="47"/>
      <c r="S38" s="46"/>
      <c r="T38" s="46"/>
      <c r="U38" s="46"/>
      <c r="V38" s="46"/>
    </row>
    <row r="39" spans="1:22" ht="11.25">
      <c r="A39" s="20"/>
      <c r="B39" s="22"/>
      <c r="C39" s="4"/>
      <c r="D39" s="48"/>
      <c r="E39" s="49"/>
      <c r="F39" s="50" t="s">
        <v>65</v>
      </c>
      <c r="G39" s="299">
        <v>843</v>
      </c>
      <c r="H39" s="300"/>
      <c r="I39" s="56"/>
      <c r="J39" s="299">
        <v>1027</v>
      </c>
      <c r="K39" s="300"/>
      <c r="L39" s="56"/>
      <c r="M39" s="299">
        <v>328</v>
      </c>
      <c r="N39" s="301"/>
      <c r="O39"/>
      <c r="P39" s="46" t="s">
        <v>73</v>
      </c>
      <c r="Q39" s="47"/>
      <c r="R39" s="47"/>
      <c r="S39" s="46"/>
      <c r="T39" s="46"/>
      <c r="U39" s="46"/>
      <c r="V39" s="46"/>
    </row>
    <row r="40" spans="1:22" ht="11.25">
      <c r="A40" s="20"/>
      <c r="B40" s="22"/>
      <c r="C40" s="4"/>
      <c r="D40" s="48"/>
      <c r="E40" s="49"/>
      <c r="F40" s="50" t="s">
        <v>67</v>
      </c>
      <c r="G40" s="302">
        <v>253</v>
      </c>
      <c r="H40" s="303"/>
      <c r="I40" s="56"/>
      <c r="J40" s="302">
        <v>299</v>
      </c>
      <c r="K40" s="303"/>
      <c r="L40" s="56"/>
      <c r="M40" s="302">
        <v>634</v>
      </c>
      <c r="N40" s="304"/>
      <c r="O40"/>
      <c r="P40" s="46" t="s">
        <v>75</v>
      </c>
      <c r="Q40" s="47"/>
      <c r="R40" s="47"/>
      <c r="S40" s="46"/>
      <c r="T40" s="46"/>
      <c r="U40" s="46"/>
      <c r="V40" s="46"/>
    </row>
    <row r="41" spans="1:22" ht="11.25">
      <c r="A41" s="20"/>
      <c r="B41" s="22"/>
      <c r="C41" s="4"/>
      <c r="D41" s="48"/>
      <c r="E41" s="49"/>
      <c r="F41" s="50" t="s">
        <v>68</v>
      </c>
      <c r="G41" s="302">
        <v>0</v>
      </c>
      <c r="H41" s="303"/>
      <c r="I41" s="56"/>
      <c r="J41" s="302">
        <v>0</v>
      </c>
      <c r="K41" s="303"/>
      <c r="L41" s="56"/>
      <c r="M41" s="302">
        <v>0</v>
      </c>
      <c r="N41" s="304"/>
      <c r="O41"/>
      <c r="P41" s="46" t="s">
        <v>74</v>
      </c>
      <c r="Q41" s="47"/>
      <c r="R41" s="47"/>
      <c r="S41" s="46"/>
      <c r="T41" s="46"/>
      <c r="U41" s="46"/>
      <c r="V41" s="46"/>
    </row>
    <row r="42" spans="1:18" ht="11.25">
      <c r="A42" s="20"/>
      <c r="B42" s="4"/>
      <c r="C42" s="4"/>
      <c r="D42" s="4"/>
      <c r="E42" s="3"/>
      <c r="F42" s="3"/>
      <c r="G42" s="9"/>
      <c r="H42" s="9"/>
      <c r="I42" s="22"/>
      <c r="J42" s="9"/>
      <c r="K42" s="9"/>
      <c r="L42" s="22"/>
      <c r="M42" s="9"/>
      <c r="N42" s="26"/>
      <c r="O42"/>
      <c r="P42"/>
      <c r="Q42"/>
      <c r="R42"/>
    </row>
    <row r="43" spans="1:18" ht="11.25">
      <c r="A43" s="20"/>
      <c r="B43" s="22"/>
      <c r="C43" s="4"/>
      <c r="D43" s="4"/>
      <c r="E43" s="3"/>
      <c r="F43" s="29" t="s">
        <v>22</v>
      </c>
      <c r="G43" s="302">
        <f>+(G11+G18)/(G33+G34)</f>
        <v>432.317880794702</v>
      </c>
      <c r="H43" s="303"/>
      <c r="I43" s="22"/>
      <c r="J43" s="302">
        <f>+(J11+J18)/(J33+J34)</f>
        <v>515.2</v>
      </c>
      <c r="K43" s="303"/>
      <c r="L43" s="22"/>
      <c r="M43" s="302">
        <f>+(M11+M18)/(M33+M34)</f>
        <v>1404.1379310344828</v>
      </c>
      <c r="N43" s="303"/>
      <c r="O43"/>
      <c r="P43" t="s">
        <v>32</v>
      </c>
      <c r="Q43"/>
      <c r="R43"/>
    </row>
    <row r="44" spans="1:18" ht="11.25">
      <c r="A44" s="20"/>
      <c r="B44" s="22"/>
      <c r="C44" s="4"/>
      <c r="D44" s="4"/>
      <c r="E44" s="3"/>
      <c r="F44" s="29" t="s">
        <v>216</v>
      </c>
      <c r="G44" s="332">
        <f>(G11+G18)/SUM(G33:H36)</f>
        <v>316.8932038834951</v>
      </c>
      <c r="H44" s="332"/>
      <c r="I44" s="22"/>
      <c r="J44" s="332">
        <f>(J11+J18)/SUM(J33:K36)</f>
        <v>429.3333333333333</v>
      </c>
      <c r="K44" s="332"/>
      <c r="L44" s="22"/>
      <c r="M44" s="332">
        <f>(M11+M18)/SUM(M33:N36)</f>
        <v>515.4430379746835</v>
      </c>
      <c r="N44" s="332"/>
      <c r="O44"/>
      <c r="P44"/>
      <c r="Q44"/>
      <c r="R44"/>
    </row>
    <row r="45" spans="1:17" ht="11.25">
      <c r="A45" s="20"/>
      <c r="B45" s="4"/>
      <c r="C45" s="4"/>
      <c r="D45" s="4"/>
      <c r="E45" s="3"/>
      <c r="F45" s="3"/>
      <c r="G45" s="34" t="s">
        <v>24</v>
      </c>
      <c r="H45" s="34" t="s">
        <v>23</v>
      </c>
      <c r="I45" s="28"/>
      <c r="J45" s="34" t="s">
        <v>24</v>
      </c>
      <c r="K45" s="34" t="s">
        <v>23</v>
      </c>
      <c r="L45" s="28"/>
      <c r="M45" s="34" t="s">
        <v>24</v>
      </c>
      <c r="N45" s="35" t="s">
        <v>23</v>
      </c>
      <c r="O45" s="14"/>
      <c r="P45" s="13"/>
      <c r="Q45" s="31"/>
    </row>
    <row r="46" spans="1:22" ht="11.25">
      <c r="A46" s="20"/>
      <c r="B46" s="4"/>
      <c r="C46" s="4"/>
      <c r="D46" s="52"/>
      <c r="E46" s="53"/>
      <c r="F46" s="54" t="s">
        <v>25</v>
      </c>
      <c r="G46" s="76">
        <v>2</v>
      </c>
      <c r="H46" s="32">
        <f>G46/(G46+G47+G48+G49)</f>
        <v>0.5</v>
      </c>
      <c r="I46" s="28"/>
      <c r="J46" s="76">
        <v>1</v>
      </c>
      <c r="K46" s="32">
        <f>J46/(J46+J47+J48+J49)</f>
        <v>0.3333333333333333</v>
      </c>
      <c r="L46" s="28"/>
      <c r="M46" s="76">
        <v>1</v>
      </c>
      <c r="N46" s="36">
        <f>M46/(M46+M47+M48+M49)</f>
        <v>1</v>
      </c>
      <c r="O46" s="14"/>
      <c r="P46" s="55" t="s">
        <v>84</v>
      </c>
      <c r="Q46" s="51"/>
      <c r="R46" s="55"/>
      <c r="S46" s="55"/>
      <c r="T46" s="55"/>
      <c r="U46" s="55"/>
      <c r="V46" s="55"/>
    </row>
    <row r="47" spans="1:22" ht="11.25">
      <c r="A47" s="20"/>
      <c r="B47" s="4"/>
      <c r="C47" s="4"/>
      <c r="D47" s="52"/>
      <c r="E47" s="53"/>
      <c r="F47" s="54" t="s">
        <v>13</v>
      </c>
      <c r="G47" s="76">
        <v>2</v>
      </c>
      <c r="H47" s="32">
        <f>G47/(G46+G47+G48+G49)</f>
        <v>0.5</v>
      </c>
      <c r="I47" s="28"/>
      <c r="J47" s="76">
        <v>2</v>
      </c>
      <c r="K47" s="32">
        <f>J47/(J46+J47+J48+J49)</f>
        <v>0.6666666666666666</v>
      </c>
      <c r="L47" s="28"/>
      <c r="M47" s="76"/>
      <c r="N47" s="36">
        <f>M47/(M46+M47+M48+M49)</f>
        <v>0</v>
      </c>
      <c r="O47" s="14"/>
      <c r="P47" s="55" t="s">
        <v>84</v>
      </c>
      <c r="Q47" s="51"/>
      <c r="R47" s="55"/>
      <c r="S47" s="55"/>
      <c r="T47" s="55"/>
      <c r="U47" s="55"/>
      <c r="V47" s="55"/>
    </row>
    <row r="48" spans="1:22" ht="11.25">
      <c r="A48" s="20"/>
      <c r="B48" s="4"/>
      <c r="C48" s="4"/>
      <c r="D48" s="52"/>
      <c r="E48" s="53"/>
      <c r="F48" s="54" t="s">
        <v>51</v>
      </c>
      <c r="G48" s="76">
        <v>0</v>
      </c>
      <c r="H48" s="32">
        <f>G48/(G46+G47+G48+G49)</f>
        <v>0</v>
      </c>
      <c r="I48" s="28"/>
      <c r="J48" s="76">
        <v>0</v>
      </c>
      <c r="K48" s="32">
        <f>J48/(J46+J47+J48+J49)</f>
        <v>0</v>
      </c>
      <c r="L48" s="28"/>
      <c r="M48" s="76">
        <v>0</v>
      </c>
      <c r="N48" s="36">
        <f>M48/(M46+M47+M48+M49)</f>
        <v>0</v>
      </c>
      <c r="O48" s="14"/>
      <c r="P48" s="55" t="s">
        <v>85</v>
      </c>
      <c r="Q48" s="51"/>
      <c r="R48" s="55"/>
      <c r="S48" s="55"/>
      <c r="T48" s="55"/>
      <c r="U48" s="55"/>
      <c r="V48" s="55"/>
    </row>
    <row r="49" spans="1:22" ht="11.25">
      <c r="A49" s="20"/>
      <c r="B49" s="4"/>
      <c r="C49" s="4"/>
      <c r="D49" s="52"/>
      <c r="E49" s="53"/>
      <c r="F49" s="54" t="s">
        <v>52</v>
      </c>
      <c r="G49" s="76">
        <v>0</v>
      </c>
      <c r="H49" s="32">
        <f>G49/(G46+G47+G48+G49)</f>
        <v>0</v>
      </c>
      <c r="I49" s="28"/>
      <c r="J49" s="76">
        <v>0</v>
      </c>
      <c r="K49" s="32">
        <f>J49/(J46+J47+J48+J49)</f>
        <v>0</v>
      </c>
      <c r="L49" s="28"/>
      <c r="M49" s="76">
        <v>0</v>
      </c>
      <c r="N49" s="36">
        <f>M49/(M46+M47+M48+M49)</f>
        <v>0</v>
      </c>
      <c r="O49" s="14"/>
      <c r="P49" s="55" t="s">
        <v>85</v>
      </c>
      <c r="Q49" s="51"/>
      <c r="R49" s="55"/>
      <c r="S49" s="55"/>
      <c r="T49" s="55"/>
      <c r="U49" s="55"/>
      <c r="V49" s="55"/>
    </row>
    <row r="50" spans="1:14" ht="11.25">
      <c r="A50" s="21" t="s">
        <v>4</v>
      </c>
      <c r="B50" s="22"/>
      <c r="C50" s="4"/>
      <c r="D50" s="4"/>
      <c r="E50" s="3"/>
      <c r="F50" s="3"/>
      <c r="G50" s="8"/>
      <c r="H50" s="8"/>
      <c r="I50" s="3"/>
      <c r="J50" s="8"/>
      <c r="K50" s="8"/>
      <c r="L50" s="3"/>
      <c r="M50" s="8"/>
      <c r="N50" s="25"/>
    </row>
    <row r="51" spans="1:16" ht="11.25">
      <c r="A51" s="21"/>
      <c r="B51" s="22"/>
      <c r="C51" s="4"/>
      <c r="D51" s="4"/>
      <c r="E51" s="3"/>
      <c r="F51" s="63" t="s">
        <v>77</v>
      </c>
      <c r="G51" s="293">
        <v>0.934</v>
      </c>
      <c r="H51" s="294"/>
      <c r="I51" s="72"/>
      <c r="J51" s="293">
        <v>0.955</v>
      </c>
      <c r="K51" s="294"/>
      <c r="L51" s="72"/>
      <c r="M51" s="293">
        <v>0.912</v>
      </c>
      <c r="N51" s="295"/>
      <c r="P51" s="10" t="s">
        <v>87</v>
      </c>
    </row>
    <row r="52" spans="1:16" ht="11.25">
      <c r="A52" s="21"/>
      <c r="B52" s="22"/>
      <c r="C52" s="4"/>
      <c r="D52" s="4"/>
      <c r="E52" s="3"/>
      <c r="F52" s="63" t="s">
        <v>76</v>
      </c>
      <c r="G52" s="293">
        <v>0.092</v>
      </c>
      <c r="H52" s="294"/>
      <c r="I52" s="72"/>
      <c r="J52" s="293">
        <v>0.104</v>
      </c>
      <c r="K52" s="294"/>
      <c r="L52" s="72"/>
      <c r="M52" s="293">
        <v>0.122</v>
      </c>
      <c r="N52" s="295"/>
      <c r="P52" s="10" t="s">
        <v>79</v>
      </c>
    </row>
    <row r="53" spans="1:16" ht="11" customHeight="1">
      <c r="A53" s="20"/>
      <c r="B53" s="23"/>
      <c r="C53" s="4"/>
      <c r="D53" s="4"/>
      <c r="E53" s="3"/>
      <c r="F53" s="29" t="s">
        <v>10</v>
      </c>
      <c r="G53" s="296">
        <v>1</v>
      </c>
      <c r="H53" s="297"/>
      <c r="I53" s="3"/>
      <c r="J53" s="296">
        <v>2</v>
      </c>
      <c r="K53" s="297"/>
      <c r="L53" s="3"/>
      <c r="M53" s="296">
        <v>6</v>
      </c>
      <c r="N53" s="298"/>
      <c r="P53" s="10" t="s">
        <v>34</v>
      </c>
    </row>
    <row r="54" spans="1:16" ht="11.25">
      <c r="A54" s="20"/>
      <c r="B54" s="23"/>
      <c r="C54" s="4"/>
      <c r="D54" s="4"/>
      <c r="E54" s="3"/>
      <c r="F54" s="29" t="s">
        <v>8</v>
      </c>
      <c r="G54" s="296">
        <v>10</v>
      </c>
      <c r="H54" s="297"/>
      <c r="I54" s="14"/>
      <c r="J54" s="296">
        <v>13</v>
      </c>
      <c r="K54" s="297"/>
      <c r="L54" s="14"/>
      <c r="M54" s="296">
        <v>18</v>
      </c>
      <c r="N54" s="298"/>
      <c r="P54" s="10" t="s">
        <v>36</v>
      </c>
    </row>
    <row r="55" spans="1:16" ht="11.25">
      <c r="A55" s="20"/>
      <c r="B55" s="23"/>
      <c r="C55" s="4"/>
      <c r="D55" s="4"/>
      <c r="E55" s="3"/>
      <c r="F55" s="42" t="s">
        <v>11</v>
      </c>
      <c r="G55" s="296">
        <v>25.5</v>
      </c>
      <c r="H55" s="297"/>
      <c r="I55" s="3"/>
      <c r="J55" s="296">
        <v>27</v>
      </c>
      <c r="K55" s="297"/>
      <c r="L55" s="3"/>
      <c r="M55" s="296">
        <v>24</v>
      </c>
      <c r="N55" s="298"/>
      <c r="P55" s="10" t="s">
        <v>42</v>
      </c>
    </row>
    <row r="56" spans="1:19" ht="11.25">
      <c r="A56" s="20"/>
      <c r="B56" s="22"/>
      <c r="C56" s="4"/>
      <c r="D56" s="4"/>
      <c r="E56" s="3"/>
      <c r="F56" s="29" t="s">
        <v>9</v>
      </c>
      <c r="G56" s="293">
        <v>0.46</v>
      </c>
      <c r="H56" s="294"/>
      <c r="I56" s="3"/>
      <c r="J56" s="293">
        <v>0.73</v>
      </c>
      <c r="K56" s="294"/>
      <c r="L56" s="3"/>
      <c r="M56" s="293">
        <v>0.86</v>
      </c>
      <c r="N56" s="295"/>
      <c r="P56" s="10" t="s">
        <v>37</v>
      </c>
      <c r="Q56"/>
      <c r="R56"/>
      <c r="S56"/>
    </row>
    <row r="57" spans="1:19" ht="11.25">
      <c r="A57" s="20"/>
      <c r="B57" s="22"/>
      <c r="C57" s="4"/>
      <c r="D57" s="4"/>
      <c r="E57" s="27"/>
      <c r="F57" s="29" t="s">
        <v>12</v>
      </c>
      <c r="G57" s="296">
        <v>7</v>
      </c>
      <c r="H57" s="297"/>
      <c r="I57" s="28"/>
      <c r="J57" s="296">
        <v>0</v>
      </c>
      <c r="K57" s="297"/>
      <c r="L57" s="28"/>
      <c r="M57" s="296">
        <v>1</v>
      </c>
      <c r="N57" s="298"/>
      <c r="P57" s="10" t="s">
        <v>38</v>
      </c>
      <c r="Q57"/>
      <c r="R57"/>
      <c r="S57"/>
    </row>
    <row r="58" spans="1:19" ht="11.25">
      <c r="A58" s="20"/>
      <c r="B58" s="22"/>
      <c r="C58" s="4"/>
      <c r="D58" s="4"/>
      <c r="E58" s="3"/>
      <c r="F58" s="29" t="s">
        <v>19</v>
      </c>
      <c r="G58" s="293">
        <v>0.436</v>
      </c>
      <c r="H58" s="294"/>
      <c r="I58" s="28"/>
      <c r="J58" s="293">
        <v>0.2</v>
      </c>
      <c r="K58" s="294"/>
      <c r="L58" s="28"/>
      <c r="M58" s="293">
        <v>0.133</v>
      </c>
      <c r="N58" s="295"/>
      <c r="P58" s="10" t="s">
        <v>39</v>
      </c>
      <c r="Q58"/>
      <c r="R58"/>
      <c r="S58"/>
    </row>
    <row r="59" spans="1:19" ht="11.25">
      <c r="A59" s="20"/>
      <c r="B59" s="22"/>
      <c r="C59" s="4"/>
      <c r="D59" s="4"/>
      <c r="E59" s="3"/>
      <c r="F59" s="29" t="s">
        <v>0</v>
      </c>
      <c r="G59" s="293">
        <v>0.414</v>
      </c>
      <c r="H59" s="294"/>
      <c r="I59" s="28"/>
      <c r="J59" s="293">
        <v>0.414</v>
      </c>
      <c r="K59" s="294"/>
      <c r="L59" s="28"/>
      <c r="M59" s="293">
        <v>0.155</v>
      </c>
      <c r="N59" s="295"/>
      <c r="P59" s="10" t="s">
        <v>40</v>
      </c>
      <c r="Q59"/>
      <c r="R59"/>
      <c r="S59"/>
    </row>
    <row r="60" spans="1:14" ht="11.25">
      <c r="A60" s="21" t="s">
        <v>1</v>
      </c>
      <c r="B60" s="28"/>
      <c r="C60" s="28"/>
      <c r="D60" s="28"/>
      <c r="E60" s="28"/>
      <c r="F60" s="28"/>
      <c r="G60" s="28"/>
      <c r="H60" s="28"/>
      <c r="I60" s="28"/>
      <c r="J60" s="28"/>
      <c r="K60" s="28"/>
      <c r="L60" s="28"/>
      <c r="M60" s="28"/>
      <c r="N60" s="33"/>
    </row>
    <row r="61" spans="1:16" ht="11.25">
      <c r="A61" s="37"/>
      <c r="B61" s="28"/>
      <c r="C61" s="28"/>
      <c r="D61" s="28"/>
      <c r="E61" s="28"/>
      <c r="F61" s="28"/>
      <c r="G61" s="28"/>
      <c r="H61" s="28"/>
      <c r="I61" s="28"/>
      <c r="J61" s="28"/>
      <c r="K61" s="28"/>
      <c r="L61" s="28"/>
      <c r="M61" s="28"/>
      <c r="N61" s="33"/>
      <c r="P61" t="s">
        <v>35</v>
      </c>
    </row>
    <row r="62" spans="1:14" ht="11.25">
      <c r="A62" s="38" t="s">
        <v>109</v>
      </c>
      <c r="B62" s="23"/>
      <c r="C62" s="23"/>
      <c r="D62" s="23"/>
      <c r="E62" s="23"/>
      <c r="F62" s="23"/>
      <c r="G62" s="23"/>
      <c r="H62" s="23"/>
      <c r="I62" s="23"/>
      <c r="J62" s="23"/>
      <c r="K62" s="23"/>
      <c r="L62" s="23"/>
      <c r="M62" s="23"/>
      <c r="N62" s="24"/>
    </row>
    <row r="63" spans="1:14" ht="11.25">
      <c r="A63" s="38"/>
      <c r="B63" s="23"/>
      <c r="C63" s="23"/>
      <c r="D63" s="23"/>
      <c r="E63" s="23"/>
      <c r="F63" s="23"/>
      <c r="G63" s="23"/>
      <c r="H63" s="23"/>
      <c r="I63" s="23"/>
      <c r="J63" s="23"/>
      <c r="K63" s="23"/>
      <c r="L63" s="23"/>
      <c r="M63" s="23"/>
      <c r="N63" s="24"/>
    </row>
    <row r="64" spans="1:16" ht="11.25">
      <c r="A64" s="38" t="s">
        <v>110</v>
      </c>
      <c r="B64" s="23"/>
      <c r="C64" s="23"/>
      <c r="D64" s="23"/>
      <c r="E64" s="23"/>
      <c r="F64" s="23"/>
      <c r="G64" s="23"/>
      <c r="H64" s="23"/>
      <c r="I64" s="23"/>
      <c r="J64" s="23"/>
      <c r="K64" s="23"/>
      <c r="L64" s="23"/>
      <c r="M64" s="23"/>
      <c r="N64" s="24"/>
      <c r="P64" s="44" t="s">
        <v>41</v>
      </c>
    </row>
    <row r="65" spans="1:14" ht="11.25">
      <c r="A65" s="38"/>
      <c r="B65" s="23"/>
      <c r="C65" s="23"/>
      <c r="D65" s="23"/>
      <c r="E65" s="23"/>
      <c r="F65" s="23"/>
      <c r="G65" s="23"/>
      <c r="H65" s="23"/>
      <c r="I65" s="23"/>
      <c r="J65" s="23"/>
      <c r="K65" s="23"/>
      <c r="L65" s="23"/>
      <c r="M65" s="23"/>
      <c r="N65" s="24"/>
    </row>
    <row r="66" spans="1:14" ht="12.75" thickBot="1">
      <c r="A66" s="39"/>
      <c r="B66" s="40"/>
      <c r="C66" s="40"/>
      <c r="D66" s="40"/>
      <c r="E66" s="40"/>
      <c r="F66" s="40"/>
      <c r="G66" s="40"/>
      <c r="H66" s="40"/>
      <c r="I66" s="40"/>
      <c r="J66" s="40"/>
      <c r="K66" s="40"/>
      <c r="L66" s="40"/>
      <c r="M66" s="40"/>
      <c r="N66" s="41"/>
    </row>
  </sheetData>
  <mergeCells count="122">
    <mergeCell ref="G5:H5"/>
    <mergeCell ref="G6:H6"/>
    <mergeCell ref="G7:H7"/>
    <mergeCell ref="G8:H8"/>
    <mergeCell ref="G9:H9"/>
    <mergeCell ref="J9:K9"/>
    <mergeCell ref="G2:N2"/>
    <mergeCell ref="G3:H3"/>
    <mergeCell ref="J3:K3"/>
    <mergeCell ref="M3:N3"/>
    <mergeCell ref="G4:H4"/>
    <mergeCell ref="J4:K4"/>
    <mergeCell ref="M4:N4"/>
    <mergeCell ref="G13:H13"/>
    <mergeCell ref="J13:K13"/>
    <mergeCell ref="M13:N13"/>
    <mergeCell ref="G14:H14"/>
    <mergeCell ref="J14:K14"/>
    <mergeCell ref="M14:N14"/>
    <mergeCell ref="M9:N9"/>
    <mergeCell ref="G11:H11"/>
    <mergeCell ref="J11:K11"/>
    <mergeCell ref="M11:N11"/>
    <mergeCell ref="G12:H12"/>
    <mergeCell ref="J12:K12"/>
    <mergeCell ref="M12:N12"/>
    <mergeCell ref="G18:H18"/>
    <mergeCell ref="J18:K18"/>
    <mergeCell ref="M18:N18"/>
    <mergeCell ref="G19:H19"/>
    <mergeCell ref="J19:K19"/>
    <mergeCell ref="M19:N19"/>
    <mergeCell ref="G15:H15"/>
    <mergeCell ref="J15:K15"/>
    <mergeCell ref="M15:N15"/>
    <mergeCell ref="G16:H16"/>
    <mergeCell ref="J16:K16"/>
    <mergeCell ref="M16:N16"/>
    <mergeCell ref="G22:H22"/>
    <mergeCell ref="J22:K22"/>
    <mergeCell ref="M22:N22"/>
    <mergeCell ref="G24:H24"/>
    <mergeCell ref="J24:K24"/>
    <mergeCell ref="M24:N24"/>
    <mergeCell ref="G20:H20"/>
    <mergeCell ref="J20:K20"/>
    <mergeCell ref="M20:N20"/>
    <mergeCell ref="G21:H21"/>
    <mergeCell ref="J21:K21"/>
    <mergeCell ref="M21:N21"/>
    <mergeCell ref="G28:H28"/>
    <mergeCell ref="J28:K28"/>
    <mergeCell ref="M28:N28"/>
    <mergeCell ref="G29:H29"/>
    <mergeCell ref="J29:K29"/>
    <mergeCell ref="M29:N29"/>
    <mergeCell ref="G25:H25"/>
    <mergeCell ref="J25:K25"/>
    <mergeCell ref="M25:N25"/>
    <mergeCell ref="G27:H27"/>
    <mergeCell ref="J27:K27"/>
    <mergeCell ref="M27:N27"/>
    <mergeCell ref="G34:H34"/>
    <mergeCell ref="J34:K34"/>
    <mergeCell ref="M34:N34"/>
    <mergeCell ref="G35:H35"/>
    <mergeCell ref="J35:K35"/>
    <mergeCell ref="M35:N35"/>
    <mergeCell ref="G31:H31"/>
    <mergeCell ref="J31:K31"/>
    <mergeCell ref="M31:N31"/>
    <mergeCell ref="G33:H33"/>
    <mergeCell ref="J33:K33"/>
    <mergeCell ref="M33:N33"/>
    <mergeCell ref="G39:H39"/>
    <mergeCell ref="J39:K39"/>
    <mergeCell ref="M39:N39"/>
    <mergeCell ref="G40:H40"/>
    <mergeCell ref="J40:K40"/>
    <mergeCell ref="M40:N40"/>
    <mergeCell ref="G36:H36"/>
    <mergeCell ref="J36:K36"/>
    <mergeCell ref="M36:N36"/>
    <mergeCell ref="G38:H38"/>
    <mergeCell ref="J38:K38"/>
    <mergeCell ref="M38:N38"/>
    <mergeCell ref="G51:H51"/>
    <mergeCell ref="J51:K51"/>
    <mergeCell ref="M51:N51"/>
    <mergeCell ref="G52:H52"/>
    <mergeCell ref="J52:K52"/>
    <mergeCell ref="M52:N52"/>
    <mergeCell ref="G41:H41"/>
    <mergeCell ref="J41:K41"/>
    <mergeCell ref="M41:N41"/>
    <mergeCell ref="G43:H43"/>
    <mergeCell ref="J43:K43"/>
    <mergeCell ref="M43:N43"/>
    <mergeCell ref="G59:H59"/>
    <mergeCell ref="J59:K59"/>
    <mergeCell ref="M59:N59"/>
    <mergeCell ref="G44:H44"/>
    <mergeCell ref="J44:K44"/>
    <mergeCell ref="M44:N44"/>
    <mergeCell ref="G57:H57"/>
    <mergeCell ref="J57:K57"/>
    <mergeCell ref="M57:N57"/>
    <mergeCell ref="G58:H58"/>
    <mergeCell ref="J58:K58"/>
    <mergeCell ref="M58:N58"/>
    <mergeCell ref="G55:H55"/>
    <mergeCell ref="J55:K55"/>
    <mergeCell ref="M55:N55"/>
    <mergeCell ref="G56:H56"/>
    <mergeCell ref="J56:K56"/>
    <mergeCell ref="M56:N56"/>
    <mergeCell ref="G53:H53"/>
    <mergeCell ref="J53:K53"/>
    <mergeCell ref="M53:N53"/>
    <mergeCell ref="G54:H54"/>
    <mergeCell ref="J54:K54"/>
    <mergeCell ref="M54:N54"/>
  </mergeCells>
  <printOptions/>
  <pageMargins left="0.25" right="0.25" top="0.75" bottom="0.75" header="0.3" footer="0.3"/>
  <pageSetup fitToHeight="1" fitToWidth="1" horizontalDpi="1200" verticalDpi="1200" orientation="portrait" scale="94" r:id="rId3"/>
  <colBreaks count="1" manualBreakCount="1">
    <brk id="14" max="16383" man="1"/>
  </colBreaks>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V66"/>
  <sheetViews>
    <sheetView showGridLines="0" workbookViewId="0" topLeftCell="A10">
      <selection activeCell="G27" sqref="G27:H27"/>
    </sheetView>
  </sheetViews>
  <sheetFormatPr defaultColWidth="9.00390625" defaultRowHeight="11.25"/>
  <cols>
    <col min="1" max="1" width="4.625" style="1" customWidth="1"/>
    <col min="2" max="5" width="9.00390625" style="1" customWidth="1"/>
    <col min="6" max="6" width="7.125" style="1" customWidth="1"/>
    <col min="7" max="8" width="9.125" style="1" customWidth="1"/>
    <col min="9" max="9" width="1.75390625" style="1" customWidth="1"/>
    <col min="10" max="11" width="9.125" style="1" customWidth="1"/>
    <col min="12" max="12" width="1.75390625" style="1" customWidth="1"/>
    <col min="13" max="14" width="9.125" style="1" customWidth="1"/>
    <col min="15" max="15" width="3.75390625" style="10" customWidth="1"/>
    <col min="16" max="16384" width="9.00390625" style="10" customWidth="1"/>
  </cols>
  <sheetData>
    <row r="1" spans="1:14" s="12" customFormat="1" ht="11.25">
      <c r="A1" s="17" t="s">
        <v>88</v>
      </c>
      <c r="B1" s="18"/>
      <c r="C1" s="18"/>
      <c r="D1" s="18"/>
      <c r="E1" s="18"/>
      <c r="F1" s="18"/>
      <c r="G1" s="18"/>
      <c r="H1" s="18"/>
      <c r="I1" s="18"/>
      <c r="J1" s="18"/>
      <c r="K1" s="18"/>
      <c r="L1" s="18"/>
      <c r="M1" s="18"/>
      <c r="N1" s="19"/>
    </row>
    <row r="2" spans="1:16" s="12" customFormat="1" ht="11.25">
      <c r="A2" s="20" t="s">
        <v>89</v>
      </c>
      <c r="B2" s="15"/>
      <c r="C2" s="15"/>
      <c r="D2" s="15"/>
      <c r="E2" s="15"/>
      <c r="F2" s="15"/>
      <c r="G2" s="328" t="s">
        <v>26</v>
      </c>
      <c r="H2" s="328"/>
      <c r="I2" s="328"/>
      <c r="J2" s="328"/>
      <c r="K2" s="328"/>
      <c r="L2" s="328"/>
      <c r="M2" s="328"/>
      <c r="N2" s="329"/>
      <c r="P2" s="43" t="s">
        <v>27</v>
      </c>
    </row>
    <row r="3" spans="1:14" ht="11.25">
      <c r="A3" s="45"/>
      <c r="B3" s="2"/>
      <c r="C3" s="2"/>
      <c r="D3" s="2"/>
      <c r="E3" s="2"/>
      <c r="F3" s="16" t="s">
        <v>14</v>
      </c>
      <c r="G3" s="330">
        <v>19</v>
      </c>
      <c r="H3" s="327"/>
      <c r="I3" s="2"/>
      <c r="J3" s="330">
        <v>18</v>
      </c>
      <c r="K3" s="327"/>
      <c r="L3" s="2"/>
      <c r="M3" s="330">
        <v>17</v>
      </c>
      <c r="N3" s="331"/>
    </row>
    <row r="4" spans="1:14" ht="11.25">
      <c r="A4" s="20"/>
      <c r="B4" s="2"/>
      <c r="C4" s="2"/>
      <c r="D4" s="2"/>
      <c r="E4" s="2"/>
      <c r="F4" s="16" t="s">
        <v>15</v>
      </c>
      <c r="G4" s="330" t="s">
        <v>80</v>
      </c>
      <c r="H4" s="327"/>
      <c r="I4" s="2"/>
      <c r="J4" s="330" t="s">
        <v>81</v>
      </c>
      <c r="K4" s="327"/>
      <c r="L4" s="2"/>
      <c r="M4" s="330" t="s">
        <v>82</v>
      </c>
      <c r="N4" s="331"/>
    </row>
    <row r="5" spans="1:14" ht="11.25">
      <c r="A5" s="20"/>
      <c r="B5" s="2"/>
      <c r="C5" s="2"/>
      <c r="D5" s="2"/>
      <c r="E5" s="2"/>
      <c r="F5" s="16" t="s">
        <v>16</v>
      </c>
      <c r="G5" s="321" t="s">
        <v>95</v>
      </c>
      <c r="H5" s="322"/>
      <c r="I5" s="2"/>
      <c r="J5" s="28"/>
      <c r="K5" s="28"/>
      <c r="L5" s="28"/>
      <c r="M5" s="28"/>
      <c r="N5" s="33"/>
    </row>
    <row r="6" spans="1:14" ht="11.25">
      <c r="A6" s="20"/>
      <c r="B6" s="2"/>
      <c r="C6" s="2"/>
      <c r="D6" s="2"/>
      <c r="E6" s="2"/>
      <c r="F6" s="16" t="s">
        <v>17</v>
      </c>
      <c r="G6" s="323" t="s">
        <v>111</v>
      </c>
      <c r="H6" s="323"/>
      <c r="I6" s="2"/>
      <c r="J6" s="28"/>
      <c r="K6" s="28"/>
      <c r="L6" s="28"/>
      <c r="M6" s="28"/>
      <c r="N6" s="33"/>
    </row>
    <row r="7" spans="1:14" ht="11.25">
      <c r="A7" s="20"/>
      <c r="B7" s="2"/>
      <c r="C7" s="2"/>
      <c r="D7" s="2"/>
      <c r="E7" s="2"/>
      <c r="F7" s="16" t="s">
        <v>33</v>
      </c>
      <c r="G7" s="324" t="s">
        <v>101</v>
      </c>
      <c r="H7" s="325"/>
      <c r="I7" s="2"/>
      <c r="J7" s="28"/>
      <c r="K7" s="28"/>
      <c r="L7" s="28"/>
      <c r="M7" s="28"/>
      <c r="N7" s="33"/>
    </row>
    <row r="8" spans="1:14" ht="11.25">
      <c r="A8" s="20"/>
      <c r="B8" s="2"/>
      <c r="C8" s="2"/>
      <c r="D8" s="2"/>
      <c r="E8" s="2"/>
      <c r="F8" s="16" t="s">
        <v>18</v>
      </c>
      <c r="G8" s="326">
        <v>43920</v>
      </c>
      <c r="H8" s="327"/>
      <c r="I8" s="2"/>
      <c r="J8" s="28"/>
      <c r="K8" s="28"/>
      <c r="L8" s="28"/>
      <c r="M8" s="28"/>
      <c r="N8" s="33"/>
    </row>
    <row r="9" spans="1:14" ht="12.75">
      <c r="A9" s="21" t="s">
        <v>2</v>
      </c>
      <c r="B9" s="22"/>
      <c r="C9" s="4"/>
      <c r="D9" s="4"/>
      <c r="E9" s="3"/>
      <c r="F9" s="3"/>
      <c r="G9" s="319"/>
      <c r="H9" s="319"/>
      <c r="I9" s="3"/>
      <c r="J9" s="319"/>
      <c r="K9" s="319"/>
      <c r="L9" s="3"/>
      <c r="M9" s="319"/>
      <c r="N9" s="320"/>
    </row>
    <row r="10" spans="1:15" ht="12.75">
      <c r="A10" s="20"/>
      <c r="B10" s="22" t="s">
        <v>56</v>
      </c>
      <c r="C10" s="4"/>
      <c r="D10" s="4"/>
      <c r="E10" s="3"/>
      <c r="F10" s="29"/>
      <c r="G10" s="58"/>
      <c r="H10" s="58"/>
      <c r="I10" s="5"/>
      <c r="J10" s="58"/>
      <c r="K10" s="58"/>
      <c r="L10" s="5"/>
      <c r="M10" s="58"/>
      <c r="N10" s="59"/>
      <c r="O10" s="11"/>
    </row>
    <row r="11" spans="1:16" ht="11.25">
      <c r="A11" s="20"/>
      <c r="B11" s="22"/>
      <c r="C11" s="6"/>
      <c r="D11" s="6"/>
      <c r="E11" s="7"/>
      <c r="F11" s="30" t="s">
        <v>7</v>
      </c>
      <c r="G11" s="313">
        <v>12986</v>
      </c>
      <c r="H11" s="314"/>
      <c r="I11" s="5"/>
      <c r="J11" s="313">
        <v>13411</v>
      </c>
      <c r="K11" s="314"/>
      <c r="L11" s="5"/>
      <c r="M11" s="313">
        <v>12640</v>
      </c>
      <c r="N11" s="315"/>
      <c r="P11" s="10" t="s">
        <v>28</v>
      </c>
    </row>
    <row r="12" spans="1:16" ht="12.75">
      <c r="A12" s="20"/>
      <c r="B12" s="22"/>
      <c r="C12" s="4"/>
      <c r="D12" s="4"/>
      <c r="E12" s="3"/>
      <c r="F12" s="29" t="s">
        <v>5</v>
      </c>
      <c r="G12" s="316">
        <v>0.014</v>
      </c>
      <c r="H12" s="317"/>
      <c r="I12" s="5"/>
      <c r="J12" s="316">
        <v>0.036</v>
      </c>
      <c r="K12" s="317"/>
      <c r="L12" s="5"/>
      <c r="M12" s="316">
        <v>0.02</v>
      </c>
      <c r="N12" s="318"/>
      <c r="O12" s="11"/>
      <c r="P12" s="10" t="s">
        <v>29</v>
      </c>
    </row>
    <row r="13" spans="1:16" ht="12.75">
      <c r="A13" s="20"/>
      <c r="B13" s="22"/>
      <c r="C13" s="4"/>
      <c r="D13" s="4"/>
      <c r="E13" s="3"/>
      <c r="F13" s="29" t="s">
        <v>53</v>
      </c>
      <c r="G13" s="313">
        <v>1</v>
      </c>
      <c r="H13" s="314"/>
      <c r="I13" s="5"/>
      <c r="J13" s="313">
        <v>1</v>
      </c>
      <c r="K13" s="314"/>
      <c r="L13" s="5"/>
      <c r="M13" s="313">
        <v>1</v>
      </c>
      <c r="N13" s="315"/>
      <c r="O13" s="11"/>
      <c r="P13" s="10" t="s">
        <v>71</v>
      </c>
    </row>
    <row r="14" spans="1:16" ht="12.75">
      <c r="A14" s="20"/>
      <c r="B14" s="22"/>
      <c r="C14" s="4"/>
      <c r="D14" s="4"/>
      <c r="E14" s="3"/>
      <c r="F14" s="29" t="s">
        <v>54</v>
      </c>
      <c r="G14" s="313">
        <v>189</v>
      </c>
      <c r="H14" s="314"/>
      <c r="I14" s="5"/>
      <c r="J14" s="313">
        <v>187</v>
      </c>
      <c r="K14" s="314"/>
      <c r="L14" s="5"/>
      <c r="M14" s="313">
        <v>181</v>
      </c>
      <c r="N14" s="315"/>
      <c r="O14" s="11"/>
      <c r="P14" s="10" t="s">
        <v>70</v>
      </c>
    </row>
    <row r="15" spans="1:16" ht="12.75">
      <c r="A15" s="20"/>
      <c r="B15" s="22"/>
      <c r="C15" s="4"/>
      <c r="D15" s="4"/>
      <c r="E15" s="3"/>
      <c r="F15" s="29" t="s">
        <v>55</v>
      </c>
      <c r="G15" s="313">
        <v>48</v>
      </c>
      <c r="H15" s="314"/>
      <c r="I15" s="5"/>
      <c r="J15" s="313">
        <v>69</v>
      </c>
      <c r="K15" s="314"/>
      <c r="L15" s="5"/>
      <c r="M15" s="313">
        <v>72</v>
      </c>
      <c r="N15" s="315"/>
      <c r="O15" s="11"/>
      <c r="P15" s="10" t="s">
        <v>69</v>
      </c>
    </row>
    <row r="16" spans="1:16" ht="12.75">
      <c r="A16" s="20"/>
      <c r="B16" s="22"/>
      <c r="C16" s="4"/>
      <c r="D16" s="4"/>
      <c r="E16" s="3"/>
      <c r="F16" s="29" t="s">
        <v>78</v>
      </c>
      <c r="G16" s="313">
        <v>106</v>
      </c>
      <c r="H16" s="314"/>
      <c r="I16" s="5"/>
      <c r="J16" s="313">
        <v>96</v>
      </c>
      <c r="K16" s="314"/>
      <c r="L16" s="5"/>
      <c r="M16" s="313">
        <v>82</v>
      </c>
      <c r="N16" s="315"/>
      <c r="O16" s="11"/>
      <c r="P16" s="10" t="s">
        <v>86</v>
      </c>
    </row>
    <row r="17" spans="1:15" ht="12.75">
      <c r="A17" s="20"/>
      <c r="B17" s="22" t="s">
        <v>57</v>
      </c>
      <c r="C17" s="4"/>
      <c r="D17" s="4"/>
      <c r="E17" s="3"/>
      <c r="F17" s="29"/>
      <c r="G17" s="58"/>
      <c r="H17" s="58"/>
      <c r="I17" s="5"/>
      <c r="J17" s="58"/>
      <c r="K17" s="58"/>
      <c r="L17" s="5"/>
      <c r="M17" s="58"/>
      <c r="N17" s="59"/>
      <c r="O17" s="11"/>
    </row>
    <row r="18" spans="1:16" ht="11.25">
      <c r="A18" s="20"/>
      <c r="B18" s="22"/>
      <c r="C18" s="6"/>
      <c r="D18" s="6"/>
      <c r="E18" s="7"/>
      <c r="F18" s="30" t="s">
        <v>7</v>
      </c>
      <c r="G18" s="313">
        <v>504</v>
      </c>
      <c r="H18" s="314"/>
      <c r="I18" s="5"/>
      <c r="J18" s="313">
        <v>344</v>
      </c>
      <c r="K18" s="314"/>
      <c r="L18" s="5"/>
      <c r="M18" s="313">
        <v>508</v>
      </c>
      <c r="N18" s="315"/>
      <c r="P18" s="10" t="s">
        <v>28</v>
      </c>
    </row>
    <row r="19" spans="1:16" ht="12.75">
      <c r="A19" s="20"/>
      <c r="B19" s="22"/>
      <c r="C19" s="4"/>
      <c r="D19" s="4"/>
      <c r="E19" s="3"/>
      <c r="F19" s="29" t="s">
        <v>5</v>
      </c>
      <c r="G19" s="316">
        <v>-0.004</v>
      </c>
      <c r="H19" s="317"/>
      <c r="I19" s="5"/>
      <c r="J19" s="316">
        <v>-0.266</v>
      </c>
      <c r="K19" s="317"/>
      <c r="L19" s="5"/>
      <c r="M19" s="316">
        <v>-0.058</v>
      </c>
      <c r="N19" s="318"/>
      <c r="O19" s="11"/>
      <c r="P19" s="10" t="s">
        <v>29</v>
      </c>
    </row>
    <row r="20" spans="1:16" ht="12.75">
      <c r="A20" s="20"/>
      <c r="B20" s="22"/>
      <c r="C20" s="4"/>
      <c r="D20" s="4"/>
      <c r="E20" s="3"/>
      <c r="F20" s="29" t="s">
        <v>58</v>
      </c>
      <c r="G20" s="313">
        <v>1</v>
      </c>
      <c r="H20" s="314"/>
      <c r="I20" s="5"/>
      <c r="J20" s="313">
        <v>1</v>
      </c>
      <c r="K20" s="314"/>
      <c r="L20" s="5"/>
      <c r="M20" s="313">
        <v>1</v>
      </c>
      <c r="N20" s="315"/>
      <c r="O20" s="11"/>
      <c r="P20" s="10" t="s">
        <v>71</v>
      </c>
    </row>
    <row r="21" spans="1:16" ht="12.75">
      <c r="A21" s="20"/>
      <c r="B21" s="22"/>
      <c r="C21" s="4"/>
      <c r="D21" s="4"/>
      <c r="E21" s="3"/>
      <c r="F21" s="29" t="s">
        <v>59</v>
      </c>
      <c r="G21" s="313">
        <v>25</v>
      </c>
      <c r="H21" s="314"/>
      <c r="I21" s="5"/>
      <c r="J21" s="313">
        <v>18</v>
      </c>
      <c r="K21" s="314"/>
      <c r="L21" s="5"/>
      <c r="M21" s="313">
        <v>31</v>
      </c>
      <c r="N21" s="315"/>
      <c r="O21" s="11"/>
      <c r="P21" s="10" t="s">
        <v>83</v>
      </c>
    </row>
    <row r="22" spans="1:16" ht="12.75">
      <c r="A22" s="20"/>
      <c r="B22" s="22"/>
      <c r="C22" s="4"/>
      <c r="D22" s="4"/>
      <c r="E22" s="3"/>
      <c r="F22" s="29" t="s">
        <v>78</v>
      </c>
      <c r="G22" s="313">
        <v>8</v>
      </c>
      <c r="H22" s="314"/>
      <c r="I22" s="5"/>
      <c r="J22" s="313">
        <v>6</v>
      </c>
      <c r="K22" s="314"/>
      <c r="L22" s="5"/>
      <c r="M22" s="313">
        <v>13</v>
      </c>
      <c r="N22" s="315"/>
      <c r="O22" s="11"/>
      <c r="P22" s="10" t="s">
        <v>86</v>
      </c>
    </row>
    <row r="23" spans="1:14" ht="11.25">
      <c r="A23" s="20"/>
      <c r="B23" s="4" t="s">
        <v>6</v>
      </c>
      <c r="C23" s="4"/>
      <c r="D23" s="4"/>
      <c r="E23" s="3"/>
      <c r="F23" s="3"/>
      <c r="G23" s="23"/>
      <c r="H23" s="23"/>
      <c r="I23" s="5"/>
      <c r="J23" s="23"/>
      <c r="K23" s="23"/>
      <c r="L23" s="5"/>
      <c r="M23" s="23"/>
      <c r="N23" s="24"/>
    </row>
    <row r="24" spans="1:16" ht="11.25">
      <c r="A24" s="20"/>
      <c r="B24" s="22"/>
      <c r="C24" s="4"/>
      <c r="D24" s="4"/>
      <c r="E24" s="3"/>
      <c r="F24" s="29" t="s">
        <v>20</v>
      </c>
      <c r="G24" s="293">
        <v>0.407</v>
      </c>
      <c r="H24" s="294"/>
      <c r="I24" s="3"/>
      <c r="J24" s="293">
        <v>0.421</v>
      </c>
      <c r="K24" s="294"/>
      <c r="L24" s="3"/>
      <c r="M24" s="293">
        <v>0.408</v>
      </c>
      <c r="N24" s="295"/>
      <c r="P24" s="10" t="s">
        <v>30</v>
      </c>
    </row>
    <row r="25" spans="1:16" ht="11.25">
      <c r="A25" s="20"/>
      <c r="B25" s="22"/>
      <c r="C25" s="4"/>
      <c r="D25" s="4"/>
      <c r="E25" s="3"/>
      <c r="F25" s="29" t="s">
        <v>21</v>
      </c>
      <c r="G25" s="293">
        <v>0.593</v>
      </c>
      <c r="H25" s="294"/>
      <c r="I25" s="3"/>
      <c r="J25" s="293">
        <v>0.579</v>
      </c>
      <c r="K25" s="294"/>
      <c r="L25" s="3"/>
      <c r="M25" s="293">
        <v>0.592</v>
      </c>
      <c r="N25" s="295"/>
      <c r="P25" s="10" t="s">
        <v>31</v>
      </c>
    </row>
    <row r="26" spans="1:14" ht="11.25">
      <c r="A26" s="62" t="s">
        <v>60</v>
      </c>
      <c r="B26" s="22"/>
      <c r="C26" s="4"/>
      <c r="D26" s="4"/>
      <c r="E26" s="3"/>
      <c r="F26" s="29"/>
      <c r="G26" s="60"/>
      <c r="H26" s="60"/>
      <c r="I26" s="5"/>
      <c r="J26" s="60"/>
      <c r="K26" s="60"/>
      <c r="L26" s="5"/>
      <c r="M26" s="60"/>
      <c r="N26" s="61"/>
    </row>
    <row r="27" spans="1:16" ht="11.25">
      <c r="A27" s="20"/>
      <c r="B27" s="22"/>
      <c r="C27" s="4"/>
      <c r="D27" s="4"/>
      <c r="E27" s="3"/>
      <c r="F27" s="29" t="s">
        <v>61</v>
      </c>
      <c r="G27" s="313">
        <f>960568.1-G28</f>
        <v>926290.1</v>
      </c>
      <c r="H27" s="314"/>
      <c r="I27" s="5"/>
      <c r="J27" s="313">
        <f>972583.52-J28</f>
        <v>940719.52</v>
      </c>
      <c r="K27" s="314"/>
      <c r="L27" s="5"/>
      <c r="M27" s="313">
        <f>898021.87-M28</f>
        <v>859232.01</v>
      </c>
      <c r="N27" s="315"/>
      <c r="P27" s="10" t="s">
        <v>91</v>
      </c>
    </row>
    <row r="28" spans="1:16" ht="11.25">
      <c r="A28" s="20"/>
      <c r="B28" s="22"/>
      <c r="C28" s="4"/>
      <c r="D28" s="4"/>
      <c r="E28" s="3"/>
      <c r="F28" s="29" t="s">
        <v>62</v>
      </c>
      <c r="G28" s="313">
        <v>34278</v>
      </c>
      <c r="H28" s="314"/>
      <c r="I28" s="5"/>
      <c r="J28" s="313">
        <v>31864</v>
      </c>
      <c r="K28" s="314"/>
      <c r="L28" s="5"/>
      <c r="M28" s="313">
        <v>38789.86</v>
      </c>
      <c r="N28" s="315"/>
      <c r="P28" s="10" t="s">
        <v>91</v>
      </c>
    </row>
    <row r="29" spans="1:16" ht="11.25">
      <c r="A29" s="20"/>
      <c r="B29" s="22"/>
      <c r="C29" s="4"/>
      <c r="D29" s="4"/>
      <c r="E29" s="3"/>
      <c r="F29" s="29" t="s">
        <v>63</v>
      </c>
      <c r="G29" s="310">
        <v>291927.94</v>
      </c>
      <c r="H29" s="311"/>
      <c r="I29" s="5"/>
      <c r="J29" s="310">
        <v>310304.82</v>
      </c>
      <c r="K29" s="311"/>
      <c r="L29" s="5"/>
      <c r="M29" s="310">
        <v>286352.19</v>
      </c>
      <c r="N29" s="312"/>
      <c r="P29" s="10" t="s">
        <v>90</v>
      </c>
    </row>
    <row r="30" spans="1:14" ht="11.25">
      <c r="A30" s="20"/>
      <c r="B30" s="22"/>
      <c r="C30" s="4"/>
      <c r="D30" s="4"/>
      <c r="E30" s="3"/>
      <c r="F30" s="29"/>
      <c r="G30" s="73"/>
      <c r="H30" s="74"/>
      <c r="I30" s="5"/>
      <c r="J30" s="73"/>
      <c r="K30" s="74"/>
      <c r="L30" s="5"/>
      <c r="M30" s="73"/>
      <c r="N30" s="75"/>
    </row>
    <row r="31" spans="1:18" ht="11.25">
      <c r="A31" s="20"/>
      <c r="B31" s="4"/>
      <c r="C31" s="4"/>
      <c r="D31" s="4"/>
      <c r="E31" s="3"/>
      <c r="F31" s="63" t="s">
        <v>64</v>
      </c>
      <c r="G31" s="299">
        <f>(SUM(G27:G29))/(G11+G18)</f>
        <v>92.84625945144552</v>
      </c>
      <c r="H31" s="300"/>
      <c r="I31" s="22"/>
      <c r="J31" s="299">
        <f>SUM(J27:K29)/(J11+J18)</f>
        <v>93.26705488913123</v>
      </c>
      <c r="K31" s="300"/>
      <c r="L31" s="22"/>
      <c r="M31" s="299">
        <f>SUM(M27:N29)/(M11+M18)</f>
        <v>90.08016884697292</v>
      </c>
      <c r="N31" s="301"/>
      <c r="O31"/>
      <c r="P31" t="s">
        <v>32</v>
      </c>
      <c r="Q31"/>
      <c r="R31"/>
    </row>
    <row r="32" spans="1:14" ht="11.25">
      <c r="A32" s="21" t="s">
        <v>3</v>
      </c>
      <c r="B32" s="22"/>
      <c r="C32" s="4"/>
      <c r="D32" s="4"/>
      <c r="E32" s="3"/>
      <c r="F32" s="3"/>
      <c r="G32" s="8"/>
      <c r="H32" s="8"/>
      <c r="I32" s="3"/>
      <c r="J32" s="8"/>
      <c r="K32" s="8"/>
      <c r="L32" s="3"/>
      <c r="M32" s="8"/>
      <c r="N32" s="25"/>
    </row>
    <row r="33" spans="1:22" ht="11.25">
      <c r="A33" s="20"/>
      <c r="B33" s="22"/>
      <c r="C33" s="4"/>
      <c r="D33" s="48"/>
      <c r="E33" s="49"/>
      <c r="F33" s="50" t="s">
        <v>43</v>
      </c>
      <c r="G33" s="302">
        <v>5.1</v>
      </c>
      <c r="H33" s="303"/>
      <c r="I33" s="56"/>
      <c r="J33" s="302">
        <v>7.3</v>
      </c>
      <c r="K33" s="303"/>
      <c r="L33" s="56"/>
      <c r="M33" s="302">
        <v>6.9</v>
      </c>
      <c r="N33" s="304"/>
      <c r="O33"/>
      <c r="P33" s="46" t="s">
        <v>47</v>
      </c>
      <c r="Q33" s="47"/>
      <c r="R33" s="47"/>
      <c r="S33" s="46"/>
      <c r="T33" s="46"/>
      <c r="U33" s="46"/>
      <c r="V33" s="46"/>
    </row>
    <row r="34" spans="1:22" ht="11.25">
      <c r="A34" s="20"/>
      <c r="B34" s="22"/>
      <c r="C34" s="4"/>
      <c r="D34" s="48"/>
      <c r="E34" s="49"/>
      <c r="F34" s="50" t="s">
        <v>44</v>
      </c>
      <c r="G34" s="302">
        <v>3.8</v>
      </c>
      <c r="H34" s="303"/>
      <c r="I34" s="56"/>
      <c r="J34" s="302">
        <v>3</v>
      </c>
      <c r="K34" s="303"/>
      <c r="L34" s="56"/>
      <c r="M34" s="302">
        <v>3</v>
      </c>
      <c r="N34" s="304"/>
      <c r="O34"/>
      <c r="P34" s="46" t="s">
        <v>48</v>
      </c>
      <c r="Q34" s="47"/>
      <c r="R34" s="47"/>
      <c r="S34" s="46"/>
      <c r="T34" s="46"/>
      <c r="U34" s="46"/>
      <c r="V34" s="46"/>
    </row>
    <row r="35" spans="1:22" ht="11.25">
      <c r="A35" s="20"/>
      <c r="B35" s="22"/>
      <c r="C35" s="4"/>
      <c r="D35" s="48"/>
      <c r="E35" s="49"/>
      <c r="F35" s="50" t="s">
        <v>45</v>
      </c>
      <c r="G35" s="307">
        <v>1.4</v>
      </c>
      <c r="H35" s="308"/>
      <c r="I35" s="56"/>
      <c r="J35" s="307">
        <v>1.8</v>
      </c>
      <c r="K35" s="308"/>
      <c r="L35" s="56"/>
      <c r="M35" s="307">
        <v>0.6</v>
      </c>
      <c r="N35" s="309"/>
      <c r="O35"/>
      <c r="P35" s="46" t="s">
        <v>50</v>
      </c>
      <c r="Q35" s="47"/>
      <c r="R35" s="47"/>
      <c r="S35" s="46"/>
      <c r="T35" s="46"/>
      <c r="U35" s="46"/>
      <c r="V35" s="46"/>
    </row>
    <row r="36" spans="1:22" ht="11.25">
      <c r="A36" s="20"/>
      <c r="B36" s="22"/>
      <c r="C36" s="4"/>
      <c r="D36" s="48"/>
      <c r="E36" s="49"/>
      <c r="F36" s="50" t="s">
        <v>46</v>
      </c>
      <c r="G36" s="305">
        <v>1.7</v>
      </c>
      <c r="H36" s="305"/>
      <c r="I36" s="56"/>
      <c r="J36" s="305">
        <v>1.6</v>
      </c>
      <c r="K36" s="305"/>
      <c r="L36" s="56"/>
      <c r="M36" s="305">
        <v>2.4</v>
      </c>
      <c r="N36" s="306"/>
      <c r="O36"/>
      <c r="P36" s="46" t="s">
        <v>49</v>
      </c>
      <c r="Q36" s="47"/>
      <c r="R36" s="47"/>
      <c r="S36" s="46"/>
      <c r="T36" s="46"/>
      <c r="U36" s="46"/>
      <c r="V36" s="46"/>
    </row>
    <row r="37" spans="1:18" s="69" customFormat="1" ht="11.25">
      <c r="A37" s="64"/>
      <c r="B37" s="65"/>
      <c r="C37" s="66"/>
      <c r="D37" s="66"/>
      <c r="E37" s="5"/>
      <c r="F37" s="67"/>
      <c r="G37" s="70"/>
      <c r="H37" s="70"/>
      <c r="I37" s="68"/>
      <c r="J37" s="70"/>
      <c r="K37" s="70"/>
      <c r="L37" s="68"/>
      <c r="M37" s="70"/>
      <c r="N37" s="71"/>
      <c r="O37" s="12"/>
      <c r="Q37" s="12"/>
      <c r="R37" s="12"/>
    </row>
    <row r="38" spans="1:22" ht="11.25">
      <c r="A38" s="20"/>
      <c r="B38" s="22"/>
      <c r="C38" s="4"/>
      <c r="D38" s="48"/>
      <c r="E38" s="49"/>
      <c r="F38" s="50" t="s">
        <v>66</v>
      </c>
      <c r="G38" s="305">
        <v>4716</v>
      </c>
      <c r="H38" s="305"/>
      <c r="I38" s="56"/>
      <c r="J38" s="305">
        <v>6388</v>
      </c>
      <c r="K38" s="305"/>
      <c r="L38" s="56"/>
      <c r="M38" s="305">
        <v>6707</v>
      </c>
      <c r="N38" s="306"/>
      <c r="O38"/>
      <c r="P38" s="46" t="s">
        <v>72</v>
      </c>
      <c r="Q38" s="47"/>
      <c r="R38" s="47"/>
      <c r="S38" s="46"/>
      <c r="T38" s="46"/>
      <c r="U38" s="46"/>
      <c r="V38" s="46"/>
    </row>
    <row r="39" spans="1:22" ht="11.25">
      <c r="A39" s="20"/>
      <c r="B39" s="22"/>
      <c r="C39" s="4"/>
      <c r="D39" s="48"/>
      <c r="E39" s="49"/>
      <c r="F39" s="50" t="s">
        <v>65</v>
      </c>
      <c r="G39" s="299">
        <v>5837</v>
      </c>
      <c r="H39" s="300"/>
      <c r="I39" s="56"/>
      <c r="J39" s="299">
        <v>4503</v>
      </c>
      <c r="K39" s="300"/>
      <c r="L39" s="56"/>
      <c r="M39" s="299">
        <v>4560</v>
      </c>
      <c r="N39" s="301"/>
      <c r="O39"/>
      <c r="P39" s="46" t="s">
        <v>73</v>
      </c>
      <c r="Q39" s="47"/>
      <c r="R39" s="47"/>
      <c r="S39" s="46"/>
      <c r="T39" s="46"/>
      <c r="U39" s="46"/>
      <c r="V39" s="46"/>
    </row>
    <row r="40" spans="1:22" ht="11.25">
      <c r="A40" s="20"/>
      <c r="B40" s="22"/>
      <c r="C40" s="4"/>
      <c r="D40" s="48"/>
      <c r="E40" s="49"/>
      <c r="F40" s="50" t="s">
        <v>67</v>
      </c>
      <c r="G40" s="302">
        <v>1252</v>
      </c>
      <c r="H40" s="303"/>
      <c r="I40" s="56"/>
      <c r="J40" s="302">
        <v>1484</v>
      </c>
      <c r="K40" s="303"/>
      <c r="L40" s="56"/>
      <c r="M40" s="302">
        <v>415</v>
      </c>
      <c r="N40" s="304"/>
      <c r="O40"/>
      <c r="P40" s="46" t="s">
        <v>75</v>
      </c>
      <c r="Q40" s="47"/>
      <c r="R40" s="47"/>
      <c r="S40" s="46"/>
      <c r="T40" s="46"/>
      <c r="U40" s="46"/>
      <c r="V40" s="46"/>
    </row>
    <row r="41" spans="1:22" ht="11.25">
      <c r="A41" s="20"/>
      <c r="B41" s="22"/>
      <c r="C41" s="4"/>
      <c r="D41" s="48"/>
      <c r="E41" s="49"/>
      <c r="F41" s="50" t="s">
        <v>68</v>
      </c>
      <c r="G41" s="302">
        <v>1596</v>
      </c>
      <c r="H41" s="303"/>
      <c r="I41" s="56"/>
      <c r="J41" s="302">
        <v>1510</v>
      </c>
      <c r="K41" s="303"/>
      <c r="L41" s="56"/>
      <c r="M41" s="302">
        <v>2322</v>
      </c>
      <c r="N41" s="304"/>
      <c r="O41"/>
      <c r="P41" s="46" t="s">
        <v>74</v>
      </c>
      <c r="Q41" s="47"/>
      <c r="R41" s="47"/>
      <c r="S41" s="46"/>
      <c r="T41" s="46"/>
      <c r="U41" s="46"/>
      <c r="V41" s="46"/>
    </row>
    <row r="42" spans="1:18" ht="11.25">
      <c r="A42" s="20"/>
      <c r="B42" s="4"/>
      <c r="C42" s="4"/>
      <c r="D42" s="4"/>
      <c r="E42" s="3"/>
      <c r="F42" s="3"/>
      <c r="G42" s="9"/>
      <c r="H42" s="9"/>
      <c r="I42" s="22"/>
      <c r="J42" s="9"/>
      <c r="K42" s="9"/>
      <c r="L42" s="22"/>
      <c r="M42" s="9"/>
      <c r="N42" s="26"/>
      <c r="O42"/>
      <c r="P42"/>
      <c r="Q42"/>
      <c r="R42"/>
    </row>
    <row r="43" spans="1:18" ht="11.25">
      <c r="A43" s="20"/>
      <c r="B43" s="22"/>
      <c r="C43" s="4"/>
      <c r="D43" s="4"/>
      <c r="E43" s="3"/>
      <c r="F43" s="29" t="s">
        <v>22</v>
      </c>
      <c r="G43" s="302">
        <f>+(G11+G18)/(G33+G34)</f>
        <v>1515.730337078652</v>
      </c>
      <c r="H43" s="303"/>
      <c r="I43" s="22"/>
      <c r="J43" s="302">
        <f>+(J11+J18)/(J33+J34)</f>
        <v>1335.4368932038833</v>
      </c>
      <c r="K43" s="303"/>
      <c r="L43" s="22"/>
      <c r="M43" s="302">
        <f>+(M11+M18)/(M33+M34)</f>
        <v>1328.080808080808</v>
      </c>
      <c r="N43" s="303"/>
      <c r="O43"/>
      <c r="P43" t="s">
        <v>32</v>
      </c>
      <c r="Q43"/>
      <c r="R43"/>
    </row>
    <row r="44" spans="1:18" ht="11.25">
      <c r="A44" s="20"/>
      <c r="B44" s="22"/>
      <c r="C44" s="4"/>
      <c r="D44" s="4"/>
      <c r="E44" s="3"/>
      <c r="F44" s="29" t="s">
        <v>216</v>
      </c>
      <c r="G44" s="332">
        <f>(G11+G18)/SUM(G33:H36)</f>
        <v>1124.1666666666667</v>
      </c>
      <c r="H44" s="332"/>
      <c r="I44" s="22"/>
      <c r="J44" s="332">
        <f>(J11+J18)/SUM(J33:K36)</f>
        <v>1004.0145985401459</v>
      </c>
      <c r="K44" s="332"/>
      <c r="L44" s="22"/>
      <c r="M44" s="332">
        <f>(M11+M18)/SUM(M33:N36)</f>
        <v>1019.2248062015503</v>
      </c>
      <c r="N44" s="332"/>
      <c r="O44"/>
      <c r="P44"/>
      <c r="Q44"/>
      <c r="R44"/>
    </row>
    <row r="45" spans="1:17" ht="11.25">
      <c r="A45" s="20"/>
      <c r="B45" s="4"/>
      <c r="C45" s="4"/>
      <c r="D45" s="4"/>
      <c r="E45" s="3"/>
      <c r="F45" s="3"/>
      <c r="G45" s="34" t="s">
        <v>24</v>
      </c>
      <c r="H45" s="34" t="s">
        <v>23</v>
      </c>
      <c r="I45" s="28"/>
      <c r="J45" s="34" t="s">
        <v>24</v>
      </c>
      <c r="K45" s="34" t="s">
        <v>23</v>
      </c>
      <c r="L45" s="28"/>
      <c r="M45" s="34" t="s">
        <v>24</v>
      </c>
      <c r="N45" s="35" t="s">
        <v>23</v>
      </c>
      <c r="O45" s="14"/>
      <c r="P45" s="13"/>
      <c r="Q45" s="31"/>
    </row>
    <row r="46" spans="1:22" ht="11.25">
      <c r="A46" s="20"/>
      <c r="B46" s="4"/>
      <c r="C46" s="4"/>
      <c r="D46" s="52"/>
      <c r="E46" s="53"/>
      <c r="F46" s="54" t="s">
        <v>25</v>
      </c>
      <c r="G46" s="76">
        <v>7.5</v>
      </c>
      <c r="H46" s="32">
        <f>G46/(G46+G47+G48+G49)</f>
        <v>0.6912442396313364</v>
      </c>
      <c r="I46" s="28"/>
      <c r="J46" s="76">
        <v>7.5</v>
      </c>
      <c r="K46" s="32">
        <f>J46/(J46+J47+J48+J49)</f>
        <v>0.7142857142857143</v>
      </c>
      <c r="L46" s="28"/>
      <c r="M46" s="76">
        <v>7.5</v>
      </c>
      <c r="N46" s="36">
        <f>M46/(M46+M47+M48+M49)</f>
        <v>0.7142857142857143</v>
      </c>
      <c r="O46" s="14"/>
      <c r="P46" s="55" t="s">
        <v>84</v>
      </c>
      <c r="Q46" s="51"/>
      <c r="R46" s="55"/>
      <c r="S46" s="55"/>
      <c r="T46" s="55"/>
      <c r="U46" s="55"/>
      <c r="V46" s="55"/>
    </row>
    <row r="47" spans="1:22" ht="11.25">
      <c r="A47" s="20"/>
      <c r="B47" s="4"/>
      <c r="C47" s="4"/>
      <c r="D47" s="52"/>
      <c r="E47" s="53"/>
      <c r="F47" s="54" t="s">
        <v>13</v>
      </c>
      <c r="G47" s="76">
        <v>3</v>
      </c>
      <c r="H47" s="32">
        <f>G47/(G46+G47+G48+G49)</f>
        <v>0.2764976958525346</v>
      </c>
      <c r="I47" s="28"/>
      <c r="J47" s="76">
        <v>3</v>
      </c>
      <c r="K47" s="32">
        <f>J47/(J46+J47+J48+J49)</f>
        <v>0.2857142857142857</v>
      </c>
      <c r="L47" s="28"/>
      <c r="M47" s="76">
        <v>3</v>
      </c>
      <c r="N47" s="36">
        <f>M47/(M46+M47+M48+M49)</f>
        <v>0.2857142857142857</v>
      </c>
      <c r="O47" s="14"/>
      <c r="P47" s="55" t="s">
        <v>84</v>
      </c>
      <c r="Q47" s="51"/>
      <c r="R47" s="55"/>
      <c r="S47" s="55"/>
      <c r="T47" s="55"/>
      <c r="U47" s="55"/>
      <c r="V47" s="55"/>
    </row>
    <row r="48" spans="1:22" ht="11.25">
      <c r="A48" s="20"/>
      <c r="B48" s="4"/>
      <c r="C48" s="4"/>
      <c r="D48" s="52"/>
      <c r="E48" s="53"/>
      <c r="F48" s="54" t="s">
        <v>51</v>
      </c>
      <c r="G48" s="76">
        <v>0</v>
      </c>
      <c r="H48" s="32">
        <f>G48/(G46+G47+G48+G49)</f>
        <v>0</v>
      </c>
      <c r="I48" s="28"/>
      <c r="J48" s="76">
        <v>0</v>
      </c>
      <c r="K48" s="32">
        <f>J48/(J46+J47+J48+J49)</f>
        <v>0</v>
      </c>
      <c r="L48" s="28"/>
      <c r="M48" s="76">
        <v>0</v>
      </c>
      <c r="N48" s="36">
        <f>M48/(M46+M47+M48+M49)</f>
        <v>0</v>
      </c>
      <c r="O48" s="14"/>
      <c r="P48" s="55" t="s">
        <v>85</v>
      </c>
      <c r="Q48" s="51"/>
      <c r="R48" s="55"/>
      <c r="S48" s="55"/>
      <c r="T48" s="55"/>
      <c r="U48" s="55"/>
      <c r="V48" s="55"/>
    </row>
    <row r="49" spans="1:22" ht="11.25">
      <c r="A49" s="20"/>
      <c r="B49" s="4"/>
      <c r="C49" s="4"/>
      <c r="D49" s="52"/>
      <c r="E49" s="53"/>
      <c r="F49" s="54" t="s">
        <v>52</v>
      </c>
      <c r="G49" s="76">
        <v>0.35</v>
      </c>
      <c r="H49" s="32">
        <f>G49/(G46+G47+G48+G49)</f>
        <v>0.03225806451612903</v>
      </c>
      <c r="I49" s="28"/>
      <c r="J49" s="76">
        <v>0</v>
      </c>
      <c r="K49" s="32">
        <f>J49/(J46+J47+J48+J49)</f>
        <v>0</v>
      </c>
      <c r="L49" s="28"/>
      <c r="M49" s="76">
        <v>0</v>
      </c>
      <c r="N49" s="36">
        <f>M49/(M46+M47+M48+M49)</f>
        <v>0</v>
      </c>
      <c r="O49" s="14"/>
      <c r="P49" s="55" t="s">
        <v>85</v>
      </c>
      <c r="Q49" s="51"/>
      <c r="R49" s="55"/>
      <c r="S49" s="55"/>
      <c r="T49" s="55"/>
      <c r="U49" s="55"/>
      <c r="V49" s="55"/>
    </row>
    <row r="50" spans="1:14" ht="11.25">
      <c r="A50" s="21" t="s">
        <v>4</v>
      </c>
      <c r="B50" s="22"/>
      <c r="C50" s="4"/>
      <c r="D50" s="4"/>
      <c r="E50" s="3"/>
      <c r="F50" s="3"/>
      <c r="G50" s="8"/>
      <c r="H50" s="8"/>
      <c r="I50" s="3"/>
      <c r="J50" s="8"/>
      <c r="K50" s="8"/>
      <c r="L50" s="3"/>
      <c r="M50" s="8"/>
      <c r="N50" s="25"/>
    </row>
    <row r="51" spans="1:16" ht="11.25">
      <c r="A51" s="21"/>
      <c r="B51" s="22"/>
      <c r="C51" s="4"/>
      <c r="D51" s="4"/>
      <c r="E51" s="3"/>
      <c r="F51" s="63" t="s">
        <v>77</v>
      </c>
      <c r="G51" s="293">
        <v>0.929</v>
      </c>
      <c r="H51" s="294"/>
      <c r="I51" s="72"/>
      <c r="J51" s="293">
        <v>0.929</v>
      </c>
      <c r="K51" s="294"/>
      <c r="L51" s="72"/>
      <c r="M51" s="293">
        <v>0.928</v>
      </c>
      <c r="N51" s="295"/>
      <c r="P51" s="10" t="s">
        <v>87</v>
      </c>
    </row>
    <row r="52" spans="1:16" ht="11.25">
      <c r="A52" s="21"/>
      <c r="B52" s="22"/>
      <c r="C52" s="4"/>
      <c r="D52" s="4"/>
      <c r="E52" s="3"/>
      <c r="F52" s="63" t="s">
        <v>76</v>
      </c>
      <c r="G52" s="293">
        <v>0.09</v>
      </c>
      <c r="H52" s="294"/>
      <c r="I52" s="72"/>
      <c r="J52" s="293">
        <v>0.094</v>
      </c>
      <c r="K52" s="294"/>
      <c r="L52" s="72"/>
      <c r="M52" s="293">
        <v>0.086</v>
      </c>
      <c r="N52" s="295"/>
      <c r="P52" s="10" t="s">
        <v>79</v>
      </c>
    </row>
    <row r="53" spans="1:16" ht="11" customHeight="1">
      <c r="A53" s="20"/>
      <c r="B53" s="23"/>
      <c r="C53" s="4"/>
      <c r="D53" s="4"/>
      <c r="E53" s="3"/>
      <c r="F53" s="29" t="s">
        <v>10</v>
      </c>
      <c r="G53" s="296">
        <v>25</v>
      </c>
      <c r="H53" s="297"/>
      <c r="I53" s="3"/>
      <c r="J53" s="296">
        <v>17</v>
      </c>
      <c r="K53" s="297"/>
      <c r="L53" s="3"/>
      <c r="M53" s="296">
        <v>14</v>
      </c>
      <c r="N53" s="298"/>
      <c r="P53" s="10" t="s">
        <v>34</v>
      </c>
    </row>
    <row r="54" spans="1:16" ht="11.25">
      <c r="A54" s="20"/>
      <c r="B54" s="23"/>
      <c r="C54" s="4"/>
      <c r="D54" s="4"/>
      <c r="E54" s="3"/>
      <c r="F54" s="29" t="s">
        <v>8</v>
      </c>
      <c r="G54" s="296">
        <v>26</v>
      </c>
      <c r="H54" s="297"/>
      <c r="I54" s="14"/>
      <c r="J54" s="296">
        <v>25</v>
      </c>
      <c r="K54" s="297"/>
      <c r="L54" s="14"/>
      <c r="M54" s="296">
        <v>26</v>
      </c>
      <c r="N54" s="298"/>
      <c r="P54" s="10" t="s">
        <v>36</v>
      </c>
    </row>
    <row r="55" spans="1:16" ht="11.25">
      <c r="A55" s="20"/>
      <c r="B55" s="23"/>
      <c r="C55" s="4"/>
      <c r="D55" s="4"/>
      <c r="E55" s="3"/>
      <c r="F55" s="42" t="s">
        <v>11</v>
      </c>
      <c r="G55" s="296">
        <v>19.1</v>
      </c>
      <c r="H55" s="297"/>
      <c r="I55" s="3"/>
      <c r="J55" s="296">
        <v>18.9</v>
      </c>
      <c r="K55" s="297"/>
      <c r="L55" s="3"/>
      <c r="M55" s="296">
        <v>18.5</v>
      </c>
      <c r="N55" s="298"/>
      <c r="P55" s="10" t="s">
        <v>42</v>
      </c>
    </row>
    <row r="56" spans="1:19" ht="11.25">
      <c r="A56" s="20"/>
      <c r="B56" s="22"/>
      <c r="C56" s="4"/>
      <c r="D56" s="4"/>
      <c r="E56" s="3"/>
      <c r="F56" s="29" t="s">
        <v>9</v>
      </c>
      <c r="G56" s="293">
        <v>1</v>
      </c>
      <c r="H56" s="294"/>
      <c r="I56" s="3"/>
      <c r="J56" s="293">
        <v>0.96</v>
      </c>
      <c r="K56" s="294"/>
      <c r="L56" s="3"/>
      <c r="M56" s="293">
        <v>0.97</v>
      </c>
      <c r="N56" s="295"/>
      <c r="P56" s="10" t="s">
        <v>37</v>
      </c>
      <c r="Q56"/>
      <c r="R56"/>
      <c r="S56"/>
    </row>
    <row r="57" spans="1:19" ht="11.25">
      <c r="A57" s="20"/>
      <c r="B57" s="22"/>
      <c r="C57" s="4"/>
      <c r="D57" s="4"/>
      <c r="E57" s="27"/>
      <c r="F57" s="29" t="s">
        <v>12</v>
      </c>
      <c r="G57" s="296">
        <v>0</v>
      </c>
      <c r="H57" s="297"/>
      <c r="I57" s="28"/>
      <c r="J57" s="296">
        <v>1</v>
      </c>
      <c r="K57" s="297"/>
      <c r="L57" s="28"/>
      <c r="M57" s="296">
        <v>0</v>
      </c>
      <c r="N57" s="298"/>
      <c r="P57" s="10" t="s">
        <v>38</v>
      </c>
      <c r="Q57"/>
      <c r="R57"/>
      <c r="S57"/>
    </row>
    <row r="58" spans="1:19" ht="11.25">
      <c r="A58" s="20"/>
      <c r="B58" s="22"/>
      <c r="C58" s="4"/>
      <c r="D58" s="4"/>
      <c r="E58" s="3"/>
      <c r="F58" s="29" t="s">
        <v>19</v>
      </c>
      <c r="G58" s="293">
        <v>0.038</v>
      </c>
      <c r="H58" s="294"/>
      <c r="I58" s="28"/>
      <c r="J58" s="293">
        <v>0.084</v>
      </c>
      <c r="K58" s="294"/>
      <c r="L58" s="28"/>
      <c r="M58" s="293">
        <v>0.049</v>
      </c>
      <c r="N58" s="295"/>
      <c r="P58" s="10" t="s">
        <v>39</v>
      </c>
      <c r="Q58"/>
      <c r="R58"/>
      <c r="S58"/>
    </row>
    <row r="59" spans="1:19" ht="11.25">
      <c r="A59" s="20"/>
      <c r="B59" s="22"/>
      <c r="C59" s="4"/>
      <c r="D59" s="4"/>
      <c r="E59" s="3"/>
      <c r="F59" s="29" t="s">
        <v>0</v>
      </c>
      <c r="G59" s="293">
        <v>0.065</v>
      </c>
      <c r="H59" s="294"/>
      <c r="I59" s="28"/>
      <c r="J59" s="293">
        <v>0.041</v>
      </c>
      <c r="K59" s="294"/>
      <c r="L59" s="28"/>
      <c r="M59" s="293">
        <v>0.014</v>
      </c>
      <c r="N59" s="295"/>
      <c r="P59" s="10" t="s">
        <v>40</v>
      </c>
      <c r="Q59"/>
      <c r="R59"/>
      <c r="S59"/>
    </row>
    <row r="60" spans="1:14" ht="11.25">
      <c r="A60" s="21" t="s">
        <v>1</v>
      </c>
      <c r="B60" s="28"/>
      <c r="C60" s="28"/>
      <c r="D60" s="28"/>
      <c r="E60" s="28"/>
      <c r="F60" s="28"/>
      <c r="G60" s="28"/>
      <c r="H60" s="28"/>
      <c r="I60" s="28"/>
      <c r="J60" s="28"/>
      <c r="K60" s="28"/>
      <c r="L60" s="28"/>
      <c r="M60" s="28"/>
      <c r="N60" s="33"/>
    </row>
    <row r="61" spans="1:16" ht="11.25">
      <c r="A61" s="37"/>
      <c r="B61" s="28"/>
      <c r="C61" s="28"/>
      <c r="D61" s="28"/>
      <c r="E61" s="28"/>
      <c r="F61" s="28"/>
      <c r="G61" s="28"/>
      <c r="H61" s="28"/>
      <c r="I61" s="28"/>
      <c r="J61" s="28"/>
      <c r="K61" s="28"/>
      <c r="L61" s="28"/>
      <c r="M61" s="28"/>
      <c r="N61" s="33"/>
      <c r="P61" t="s">
        <v>35</v>
      </c>
    </row>
    <row r="62" spans="1:14" ht="11.25">
      <c r="A62" s="38"/>
      <c r="B62" s="23"/>
      <c r="C62" s="23"/>
      <c r="D62" s="23"/>
      <c r="E62" s="23"/>
      <c r="F62" s="23"/>
      <c r="G62" s="23"/>
      <c r="H62" s="23"/>
      <c r="I62" s="23"/>
      <c r="J62" s="23"/>
      <c r="K62" s="23"/>
      <c r="L62" s="23"/>
      <c r="M62" s="23"/>
      <c r="N62" s="24"/>
    </row>
    <row r="63" spans="1:14" ht="11.25">
      <c r="A63" s="38"/>
      <c r="B63" s="23"/>
      <c r="C63" s="23"/>
      <c r="D63" s="23"/>
      <c r="E63" s="23"/>
      <c r="F63" s="23"/>
      <c r="G63" s="23"/>
      <c r="H63" s="23"/>
      <c r="I63" s="23"/>
      <c r="J63" s="23"/>
      <c r="K63" s="23"/>
      <c r="L63" s="23"/>
      <c r="M63" s="23"/>
      <c r="N63" s="24"/>
    </row>
    <row r="64" spans="1:16" ht="11.25">
      <c r="A64" s="38"/>
      <c r="B64" s="23"/>
      <c r="C64" s="23"/>
      <c r="D64" s="23"/>
      <c r="E64" s="23"/>
      <c r="F64" s="23"/>
      <c r="G64" s="23"/>
      <c r="H64" s="23"/>
      <c r="I64" s="23"/>
      <c r="J64" s="23"/>
      <c r="K64" s="23"/>
      <c r="L64" s="23"/>
      <c r="M64" s="23"/>
      <c r="N64" s="24"/>
      <c r="P64" s="44" t="s">
        <v>41</v>
      </c>
    </row>
    <row r="65" spans="1:14" ht="11.25">
      <c r="A65" s="38"/>
      <c r="B65" s="23"/>
      <c r="C65" s="23"/>
      <c r="D65" s="23"/>
      <c r="E65" s="23"/>
      <c r="F65" s="23"/>
      <c r="G65" s="23"/>
      <c r="H65" s="23"/>
      <c r="I65" s="23"/>
      <c r="J65" s="23"/>
      <c r="K65" s="23"/>
      <c r="L65" s="23"/>
      <c r="M65" s="23"/>
      <c r="N65" s="24"/>
    </row>
    <row r="66" spans="1:14" ht="12.75" thickBot="1">
      <c r="A66" s="39"/>
      <c r="B66" s="40"/>
      <c r="C66" s="40"/>
      <c r="D66" s="40"/>
      <c r="E66" s="40"/>
      <c r="F66" s="40"/>
      <c r="G66" s="40"/>
      <c r="H66" s="40"/>
      <c r="I66" s="40"/>
      <c r="J66" s="40"/>
      <c r="K66" s="40"/>
      <c r="L66" s="40"/>
      <c r="M66" s="40"/>
      <c r="N66" s="41"/>
    </row>
  </sheetData>
  <mergeCells count="122">
    <mergeCell ref="G5:H5"/>
    <mergeCell ref="G6:H6"/>
    <mergeCell ref="G7:H7"/>
    <mergeCell ref="G8:H8"/>
    <mergeCell ref="G9:H9"/>
    <mergeCell ref="J9:K9"/>
    <mergeCell ref="G2:N2"/>
    <mergeCell ref="G3:H3"/>
    <mergeCell ref="J3:K3"/>
    <mergeCell ref="M3:N3"/>
    <mergeCell ref="G4:H4"/>
    <mergeCell ref="J4:K4"/>
    <mergeCell ref="M4:N4"/>
    <mergeCell ref="G13:H13"/>
    <mergeCell ref="J13:K13"/>
    <mergeCell ref="M13:N13"/>
    <mergeCell ref="G14:H14"/>
    <mergeCell ref="J14:K14"/>
    <mergeCell ref="M14:N14"/>
    <mergeCell ref="M9:N9"/>
    <mergeCell ref="G11:H11"/>
    <mergeCell ref="J11:K11"/>
    <mergeCell ref="M11:N11"/>
    <mergeCell ref="G12:H12"/>
    <mergeCell ref="J12:K12"/>
    <mergeCell ref="M12:N12"/>
    <mergeCell ref="G18:H18"/>
    <mergeCell ref="J18:K18"/>
    <mergeCell ref="M18:N18"/>
    <mergeCell ref="G19:H19"/>
    <mergeCell ref="J19:K19"/>
    <mergeCell ref="M19:N19"/>
    <mergeCell ref="G15:H15"/>
    <mergeCell ref="J15:K15"/>
    <mergeCell ref="M15:N15"/>
    <mergeCell ref="G16:H16"/>
    <mergeCell ref="J16:K16"/>
    <mergeCell ref="M16:N16"/>
    <mergeCell ref="G22:H22"/>
    <mergeCell ref="J22:K22"/>
    <mergeCell ref="M22:N22"/>
    <mergeCell ref="G24:H24"/>
    <mergeCell ref="J24:K24"/>
    <mergeCell ref="M24:N24"/>
    <mergeCell ref="G20:H20"/>
    <mergeCell ref="J20:K20"/>
    <mergeCell ref="M20:N20"/>
    <mergeCell ref="G21:H21"/>
    <mergeCell ref="J21:K21"/>
    <mergeCell ref="M21:N21"/>
    <mergeCell ref="G28:H28"/>
    <mergeCell ref="J28:K28"/>
    <mergeCell ref="M28:N28"/>
    <mergeCell ref="G29:H29"/>
    <mergeCell ref="J29:K29"/>
    <mergeCell ref="M29:N29"/>
    <mergeCell ref="G25:H25"/>
    <mergeCell ref="J25:K25"/>
    <mergeCell ref="M25:N25"/>
    <mergeCell ref="G27:H27"/>
    <mergeCell ref="J27:K27"/>
    <mergeCell ref="M27:N27"/>
    <mergeCell ref="G34:H34"/>
    <mergeCell ref="J34:K34"/>
    <mergeCell ref="M34:N34"/>
    <mergeCell ref="G35:H35"/>
    <mergeCell ref="J35:K35"/>
    <mergeCell ref="M35:N35"/>
    <mergeCell ref="G31:H31"/>
    <mergeCell ref="J31:K31"/>
    <mergeCell ref="M31:N31"/>
    <mergeCell ref="G33:H33"/>
    <mergeCell ref="J33:K33"/>
    <mergeCell ref="M33:N33"/>
    <mergeCell ref="G39:H39"/>
    <mergeCell ref="J39:K39"/>
    <mergeCell ref="M39:N39"/>
    <mergeCell ref="G40:H40"/>
    <mergeCell ref="J40:K40"/>
    <mergeCell ref="M40:N40"/>
    <mergeCell ref="G36:H36"/>
    <mergeCell ref="J36:K36"/>
    <mergeCell ref="M36:N36"/>
    <mergeCell ref="G38:H38"/>
    <mergeCell ref="J38:K38"/>
    <mergeCell ref="M38:N38"/>
    <mergeCell ref="G51:H51"/>
    <mergeCell ref="J51:K51"/>
    <mergeCell ref="M51:N51"/>
    <mergeCell ref="G52:H52"/>
    <mergeCell ref="J52:K52"/>
    <mergeCell ref="M52:N52"/>
    <mergeCell ref="G41:H41"/>
    <mergeCell ref="J41:K41"/>
    <mergeCell ref="M41:N41"/>
    <mergeCell ref="G43:H43"/>
    <mergeCell ref="J43:K43"/>
    <mergeCell ref="M43:N43"/>
    <mergeCell ref="G59:H59"/>
    <mergeCell ref="J59:K59"/>
    <mergeCell ref="M59:N59"/>
    <mergeCell ref="G44:H44"/>
    <mergeCell ref="J44:K44"/>
    <mergeCell ref="M44:N44"/>
    <mergeCell ref="G57:H57"/>
    <mergeCell ref="J57:K57"/>
    <mergeCell ref="M57:N57"/>
    <mergeCell ref="G58:H58"/>
    <mergeCell ref="J58:K58"/>
    <mergeCell ref="M58:N58"/>
    <mergeCell ref="G55:H55"/>
    <mergeCell ref="J55:K55"/>
    <mergeCell ref="M55:N55"/>
    <mergeCell ref="G56:H56"/>
    <mergeCell ref="J56:K56"/>
    <mergeCell ref="M56:N56"/>
    <mergeCell ref="G53:H53"/>
    <mergeCell ref="J53:K53"/>
    <mergeCell ref="M53:N53"/>
    <mergeCell ref="G54:H54"/>
    <mergeCell ref="J54:K54"/>
    <mergeCell ref="M54:N54"/>
  </mergeCells>
  <printOptions/>
  <pageMargins left="0.25" right="0.25" top="0.75" bottom="0.75" header="0.3" footer="0.3"/>
  <pageSetup fitToHeight="1" fitToWidth="1" horizontalDpi="1200" verticalDpi="1200" orientation="portrait" scale="94" r:id="rId3"/>
  <colBreaks count="1" manualBreakCount="1">
    <brk id="14" max="16383" man="1"/>
  </colBreaks>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V66"/>
  <sheetViews>
    <sheetView showGridLines="0" workbookViewId="0" topLeftCell="A14">
      <selection activeCell="M43" sqref="M43:N43"/>
    </sheetView>
  </sheetViews>
  <sheetFormatPr defaultColWidth="9.00390625" defaultRowHeight="11.25"/>
  <cols>
    <col min="1" max="1" width="4.625" style="1" customWidth="1"/>
    <col min="2" max="5" width="9.00390625" style="1" customWidth="1"/>
    <col min="6" max="6" width="7.125" style="1" customWidth="1"/>
    <col min="7" max="8" width="9.125" style="1" customWidth="1"/>
    <col min="9" max="9" width="1.75390625" style="1" customWidth="1"/>
    <col min="10" max="11" width="9.125" style="1" customWidth="1"/>
    <col min="12" max="12" width="1.75390625" style="1" customWidth="1"/>
    <col min="13" max="14" width="9.125" style="1" customWidth="1"/>
    <col min="15" max="15" width="3.75390625" style="10" customWidth="1"/>
    <col min="16" max="16384" width="9.00390625" style="10" customWidth="1"/>
  </cols>
  <sheetData>
    <row r="1" spans="1:14" s="12" customFormat="1" ht="11.25">
      <c r="A1" s="17" t="s">
        <v>88</v>
      </c>
      <c r="B1" s="18"/>
      <c r="C1" s="18"/>
      <c r="D1" s="18"/>
      <c r="E1" s="18"/>
      <c r="F1" s="18"/>
      <c r="G1" s="18"/>
      <c r="H1" s="18"/>
      <c r="I1" s="18"/>
      <c r="J1" s="18"/>
      <c r="K1" s="18"/>
      <c r="L1" s="18"/>
      <c r="M1" s="18"/>
      <c r="N1" s="19"/>
    </row>
    <row r="2" spans="1:16" s="12" customFormat="1" ht="11.25">
      <c r="A2" s="20" t="s">
        <v>89</v>
      </c>
      <c r="B2" s="15"/>
      <c r="C2" s="15"/>
      <c r="D2" s="15"/>
      <c r="E2" s="15"/>
      <c r="F2" s="15"/>
      <c r="G2" s="328" t="s">
        <v>26</v>
      </c>
      <c r="H2" s="328"/>
      <c r="I2" s="328"/>
      <c r="J2" s="328"/>
      <c r="K2" s="328"/>
      <c r="L2" s="328"/>
      <c r="M2" s="328"/>
      <c r="N2" s="329"/>
      <c r="P2" s="43" t="s">
        <v>27</v>
      </c>
    </row>
    <row r="3" spans="1:14" ht="11.25">
      <c r="A3" s="45"/>
      <c r="B3" s="2"/>
      <c r="C3" s="2"/>
      <c r="D3" s="2"/>
      <c r="E3" s="2"/>
      <c r="F3" s="16" t="s">
        <v>14</v>
      </c>
      <c r="G3" s="330">
        <v>19</v>
      </c>
      <c r="H3" s="327"/>
      <c r="I3" s="2"/>
      <c r="J3" s="330">
        <v>18</v>
      </c>
      <c r="K3" s="327"/>
      <c r="L3" s="2"/>
      <c r="M3" s="330">
        <v>17</v>
      </c>
      <c r="N3" s="331"/>
    </row>
    <row r="4" spans="1:14" ht="11.25">
      <c r="A4" s="20"/>
      <c r="B4" s="2"/>
      <c r="C4" s="2"/>
      <c r="D4" s="2"/>
      <c r="E4" s="2"/>
      <c r="F4" s="16" t="s">
        <v>15</v>
      </c>
      <c r="G4" s="330" t="s">
        <v>80</v>
      </c>
      <c r="H4" s="327"/>
      <c r="I4" s="2"/>
      <c r="J4" s="330" t="s">
        <v>81</v>
      </c>
      <c r="K4" s="327"/>
      <c r="L4" s="2"/>
      <c r="M4" s="330" t="s">
        <v>82</v>
      </c>
      <c r="N4" s="331"/>
    </row>
    <row r="5" spans="1:14" ht="11.25">
      <c r="A5" s="20"/>
      <c r="B5" s="2"/>
      <c r="C5" s="2"/>
      <c r="D5" s="2"/>
      <c r="E5" s="2"/>
      <c r="F5" s="16" t="s">
        <v>16</v>
      </c>
      <c r="G5" s="321" t="s">
        <v>102</v>
      </c>
      <c r="H5" s="322"/>
      <c r="I5" s="2"/>
      <c r="J5" s="28"/>
      <c r="K5" s="28"/>
      <c r="L5" s="28"/>
      <c r="M5" s="28"/>
      <c r="N5" s="33"/>
    </row>
    <row r="6" spans="1:14" ht="11.25">
      <c r="A6" s="20"/>
      <c r="B6" s="2"/>
      <c r="C6" s="2"/>
      <c r="D6" s="2"/>
      <c r="E6" s="2"/>
      <c r="F6" s="16" t="s">
        <v>17</v>
      </c>
      <c r="G6" s="323" t="s">
        <v>112</v>
      </c>
      <c r="H6" s="323"/>
      <c r="I6" s="2"/>
      <c r="J6" s="28"/>
      <c r="K6" s="28"/>
      <c r="L6" s="28"/>
      <c r="M6" s="28"/>
      <c r="N6" s="33"/>
    </row>
    <row r="7" spans="1:14" ht="11.25">
      <c r="A7" s="20"/>
      <c r="B7" s="2"/>
      <c r="C7" s="2"/>
      <c r="D7" s="2"/>
      <c r="E7" s="2"/>
      <c r="F7" s="16" t="s">
        <v>33</v>
      </c>
      <c r="G7" s="324" t="s">
        <v>97</v>
      </c>
      <c r="H7" s="325"/>
      <c r="I7" s="2"/>
      <c r="J7" s="28"/>
      <c r="K7" s="28"/>
      <c r="L7" s="28"/>
      <c r="M7" s="28"/>
      <c r="N7" s="33"/>
    </row>
    <row r="8" spans="1:14" ht="11.25">
      <c r="A8" s="20"/>
      <c r="B8" s="2"/>
      <c r="C8" s="2"/>
      <c r="D8" s="2"/>
      <c r="E8" s="2"/>
      <c r="F8" s="16" t="s">
        <v>18</v>
      </c>
      <c r="G8" s="326">
        <v>43935</v>
      </c>
      <c r="H8" s="327"/>
      <c r="I8" s="2"/>
      <c r="J8" s="28"/>
      <c r="K8" s="28"/>
      <c r="L8" s="28"/>
      <c r="M8" s="28"/>
      <c r="N8" s="33"/>
    </row>
    <row r="9" spans="1:14" ht="12.75">
      <c r="A9" s="21" t="s">
        <v>2</v>
      </c>
      <c r="B9" s="22"/>
      <c r="C9" s="4"/>
      <c r="D9" s="4"/>
      <c r="E9" s="3"/>
      <c r="F9" s="3"/>
      <c r="G9" s="319"/>
      <c r="H9" s="319"/>
      <c r="I9" s="3"/>
      <c r="J9" s="319"/>
      <c r="K9" s="319"/>
      <c r="L9" s="3"/>
      <c r="M9" s="319"/>
      <c r="N9" s="320"/>
    </row>
    <row r="10" spans="1:15" ht="12.75">
      <c r="A10" s="20"/>
      <c r="B10" s="22" t="s">
        <v>56</v>
      </c>
      <c r="C10" s="4"/>
      <c r="D10" s="4"/>
      <c r="E10" s="3"/>
      <c r="F10" s="29"/>
      <c r="G10" s="58"/>
      <c r="H10" s="58"/>
      <c r="I10" s="5"/>
      <c r="J10" s="58"/>
      <c r="K10" s="58"/>
      <c r="L10" s="5"/>
      <c r="M10" s="58"/>
      <c r="N10" s="59"/>
      <c r="O10" s="11"/>
    </row>
    <row r="11" spans="1:16" ht="11.25">
      <c r="A11" s="20"/>
      <c r="B11" s="22"/>
      <c r="C11" s="6"/>
      <c r="D11" s="6"/>
      <c r="E11" s="7"/>
      <c r="F11" s="30" t="s">
        <v>7</v>
      </c>
      <c r="G11" s="313">
        <v>14552</v>
      </c>
      <c r="H11" s="314"/>
      <c r="I11" s="5"/>
      <c r="J11" s="313">
        <v>18947</v>
      </c>
      <c r="K11" s="314"/>
      <c r="L11" s="5"/>
      <c r="M11" s="313">
        <v>17975</v>
      </c>
      <c r="N11" s="315"/>
      <c r="P11" s="10" t="s">
        <v>28</v>
      </c>
    </row>
    <row r="12" spans="1:16" ht="12.75">
      <c r="A12" s="20"/>
      <c r="B12" s="22"/>
      <c r="C12" s="4"/>
      <c r="D12" s="4"/>
      <c r="E12" s="3"/>
      <c r="F12" s="29" t="s">
        <v>5</v>
      </c>
      <c r="G12" s="316">
        <v>-0.1</v>
      </c>
      <c r="H12" s="317"/>
      <c r="I12" s="5"/>
      <c r="J12" s="316">
        <v>0.016</v>
      </c>
      <c r="K12" s="317"/>
      <c r="L12" s="5"/>
      <c r="M12" s="316">
        <v>-0.022</v>
      </c>
      <c r="N12" s="318"/>
      <c r="O12" s="11"/>
      <c r="P12" s="10" t="s">
        <v>29</v>
      </c>
    </row>
    <row r="13" spans="1:16" ht="12.75">
      <c r="A13" s="20"/>
      <c r="B13" s="22"/>
      <c r="C13" s="4"/>
      <c r="D13" s="4"/>
      <c r="E13" s="3"/>
      <c r="F13" s="29" t="s">
        <v>53</v>
      </c>
      <c r="G13" s="313">
        <v>1</v>
      </c>
      <c r="H13" s="314"/>
      <c r="I13" s="5"/>
      <c r="J13" s="313">
        <v>1</v>
      </c>
      <c r="K13" s="314"/>
      <c r="L13" s="5"/>
      <c r="M13" s="313">
        <v>1</v>
      </c>
      <c r="N13" s="315"/>
      <c r="O13" s="11"/>
      <c r="P13" s="10" t="s">
        <v>71</v>
      </c>
    </row>
    <row r="14" spans="1:16" ht="12.75">
      <c r="A14" s="20"/>
      <c r="B14" s="22"/>
      <c r="C14" s="4"/>
      <c r="D14" s="4"/>
      <c r="E14" s="3"/>
      <c r="F14" s="29" t="s">
        <v>54</v>
      </c>
      <c r="G14" s="313">
        <f>1+82+216+5</f>
        <v>304</v>
      </c>
      <c r="H14" s="314"/>
      <c r="I14" s="5"/>
      <c r="J14" s="313">
        <f>6+63+3+196+10</f>
        <v>278</v>
      </c>
      <c r="K14" s="314"/>
      <c r="L14" s="5"/>
      <c r="M14" s="313">
        <f>15+43+12+221+6</f>
        <v>297</v>
      </c>
      <c r="N14" s="315"/>
      <c r="O14" s="11"/>
      <c r="P14" s="10" t="s">
        <v>70</v>
      </c>
    </row>
    <row r="15" spans="1:16" ht="12.75">
      <c r="A15" s="20"/>
      <c r="B15" s="22"/>
      <c r="C15" s="4"/>
      <c r="D15" s="4"/>
      <c r="E15" s="3"/>
      <c r="F15" s="29" t="s">
        <v>55</v>
      </c>
      <c r="G15" s="313">
        <f>10+6+220</f>
        <v>236</v>
      </c>
      <c r="H15" s="314"/>
      <c r="I15" s="5"/>
      <c r="J15" s="313">
        <f>8+12+261</f>
        <v>281</v>
      </c>
      <c r="K15" s="314"/>
      <c r="L15" s="5"/>
      <c r="M15" s="313">
        <f>17+221</f>
        <v>238</v>
      </c>
      <c r="N15" s="315"/>
      <c r="O15" s="11"/>
      <c r="P15" s="10" t="s">
        <v>69</v>
      </c>
    </row>
    <row r="16" spans="1:16" ht="12.75">
      <c r="A16" s="20"/>
      <c r="B16" s="22"/>
      <c r="C16" s="4"/>
      <c r="D16" s="4"/>
      <c r="E16" s="3"/>
      <c r="F16" s="29" t="s">
        <v>78</v>
      </c>
      <c r="G16" s="313">
        <v>85</v>
      </c>
      <c r="H16" s="314"/>
      <c r="I16" s="5"/>
      <c r="J16" s="313">
        <v>81</v>
      </c>
      <c r="K16" s="314"/>
      <c r="L16" s="5"/>
      <c r="M16" s="313">
        <v>72</v>
      </c>
      <c r="N16" s="315"/>
      <c r="O16" s="11"/>
      <c r="P16" s="10" t="s">
        <v>86</v>
      </c>
    </row>
    <row r="17" spans="1:15" ht="12.75">
      <c r="A17" s="20"/>
      <c r="B17" s="22" t="s">
        <v>57</v>
      </c>
      <c r="C17" s="4"/>
      <c r="D17" s="4"/>
      <c r="E17" s="3"/>
      <c r="F17" s="29"/>
      <c r="G17" s="58"/>
      <c r="H17" s="58"/>
      <c r="I17" s="5"/>
      <c r="J17" s="58"/>
      <c r="K17" s="58"/>
      <c r="L17" s="5"/>
      <c r="M17" s="58"/>
      <c r="N17" s="59"/>
      <c r="O17" s="11"/>
    </row>
    <row r="18" spans="1:16" ht="11.25">
      <c r="A18" s="20"/>
      <c r="B18" s="22"/>
      <c r="C18" s="6"/>
      <c r="D18" s="6"/>
      <c r="E18" s="7"/>
      <c r="F18" s="30" t="s">
        <v>7</v>
      </c>
      <c r="G18" s="313">
        <v>276</v>
      </c>
      <c r="H18" s="314"/>
      <c r="I18" s="5"/>
      <c r="J18" s="313">
        <v>317</v>
      </c>
      <c r="K18" s="314"/>
      <c r="L18" s="5"/>
      <c r="M18" s="313">
        <v>419</v>
      </c>
      <c r="N18" s="315"/>
      <c r="P18" s="10" t="s">
        <v>28</v>
      </c>
    </row>
    <row r="19" spans="1:16" ht="12.75">
      <c r="A19" s="20"/>
      <c r="B19" s="22"/>
      <c r="C19" s="4"/>
      <c r="D19" s="4"/>
      <c r="E19" s="3"/>
      <c r="F19" s="29" t="s">
        <v>5</v>
      </c>
      <c r="G19" s="316">
        <v>-0.188</v>
      </c>
      <c r="H19" s="317"/>
      <c r="I19" s="5"/>
      <c r="J19" s="316">
        <v>-0.121</v>
      </c>
      <c r="K19" s="317"/>
      <c r="L19" s="5"/>
      <c r="M19" s="316">
        <v>-0.008</v>
      </c>
      <c r="N19" s="318"/>
      <c r="O19" s="11"/>
      <c r="P19" s="10" t="s">
        <v>29</v>
      </c>
    </row>
    <row r="20" spans="1:16" ht="12.75">
      <c r="A20" s="20"/>
      <c r="B20" s="22"/>
      <c r="C20" s="4"/>
      <c r="D20" s="4"/>
      <c r="E20" s="3"/>
      <c r="F20" s="29" t="s">
        <v>58</v>
      </c>
      <c r="G20" s="313">
        <v>1</v>
      </c>
      <c r="H20" s="314"/>
      <c r="I20" s="5"/>
      <c r="J20" s="313">
        <v>1</v>
      </c>
      <c r="K20" s="314"/>
      <c r="L20" s="5"/>
      <c r="M20" s="313">
        <v>1</v>
      </c>
      <c r="N20" s="315"/>
      <c r="O20" s="11"/>
      <c r="P20" s="10" t="s">
        <v>71</v>
      </c>
    </row>
    <row r="21" spans="1:16" ht="12.75">
      <c r="A21" s="20"/>
      <c r="B21" s="22"/>
      <c r="C21" s="4"/>
      <c r="D21" s="4"/>
      <c r="E21" s="3"/>
      <c r="F21" s="29" t="s">
        <v>59</v>
      </c>
      <c r="G21" s="313">
        <v>20</v>
      </c>
      <c r="H21" s="314"/>
      <c r="I21" s="5"/>
      <c r="J21" s="313">
        <v>19</v>
      </c>
      <c r="K21" s="314"/>
      <c r="L21" s="5"/>
      <c r="M21" s="313">
        <v>19</v>
      </c>
      <c r="N21" s="315"/>
      <c r="O21" s="11"/>
      <c r="P21" s="10" t="s">
        <v>83</v>
      </c>
    </row>
    <row r="22" spans="1:16" ht="12.75">
      <c r="A22" s="20"/>
      <c r="B22" s="22"/>
      <c r="C22" s="4"/>
      <c r="D22" s="4"/>
      <c r="E22" s="3"/>
      <c r="F22" s="29" t="s">
        <v>78</v>
      </c>
      <c r="G22" s="313">
        <v>4</v>
      </c>
      <c r="H22" s="314"/>
      <c r="I22" s="5"/>
      <c r="J22" s="313">
        <v>9</v>
      </c>
      <c r="K22" s="314"/>
      <c r="L22" s="5"/>
      <c r="M22" s="313">
        <v>4</v>
      </c>
      <c r="N22" s="315"/>
      <c r="O22" s="11"/>
      <c r="P22" s="10" t="s">
        <v>86</v>
      </c>
    </row>
    <row r="23" spans="1:14" ht="11.25">
      <c r="A23" s="20"/>
      <c r="B23" s="4" t="s">
        <v>6</v>
      </c>
      <c r="C23" s="4"/>
      <c r="D23" s="4"/>
      <c r="E23" s="3"/>
      <c r="F23" s="3"/>
      <c r="G23" s="23"/>
      <c r="H23" s="23"/>
      <c r="I23" s="5"/>
      <c r="J23" s="23"/>
      <c r="K23" s="23"/>
      <c r="L23" s="5"/>
      <c r="M23" s="23"/>
      <c r="N23" s="24"/>
    </row>
    <row r="24" spans="1:16" ht="11.25">
      <c r="A24" s="20"/>
      <c r="B24" s="22"/>
      <c r="C24" s="4"/>
      <c r="D24" s="4"/>
      <c r="E24" s="3"/>
      <c r="F24" s="29" t="s">
        <v>20</v>
      </c>
      <c r="G24" s="293">
        <v>0.635</v>
      </c>
      <c r="H24" s="294"/>
      <c r="I24" s="3"/>
      <c r="J24" s="293">
        <v>0.479</v>
      </c>
      <c r="K24" s="294"/>
      <c r="L24" s="3"/>
      <c r="M24" s="293">
        <v>0.475</v>
      </c>
      <c r="N24" s="295"/>
      <c r="P24" s="10" t="s">
        <v>30</v>
      </c>
    </row>
    <row r="25" spans="1:16" ht="11.25">
      <c r="A25" s="20"/>
      <c r="B25" s="22"/>
      <c r="C25" s="4"/>
      <c r="D25" s="4"/>
      <c r="E25" s="3"/>
      <c r="F25" s="29" t="s">
        <v>21</v>
      </c>
      <c r="G25" s="293">
        <v>0.365</v>
      </c>
      <c r="H25" s="294"/>
      <c r="I25" s="3"/>
      <c r="J25" s="293">
        <v>0.521</v>
      </c>
      <c r="K25" s="294"/>
      <c r="L25" s="3"/>
      <c r="M25" s="293">
        <v>0.525</v>
      </c>
      <c r="N25" s="295"/>
      <c r="P25" s="10" t="s">
        <v>31</v>
      </c>
    </row>
    <row r="26" spans="1:14" ht="11.25">
      <c r="A26" s="62" t="s">
        <v>60</v>
      </c>
      <c r="B26" s="22"/>
      <c r="C26" s="4"/>
      <c r="D26" s="4"/>
      <c r="E26" s="3"/>
      <c r="F26" s="29"/>
      <c r="G26" s="60"/>
      <c r="H26" s="60"/>
      <c r="I26" s="5"/>
      <c r="J26" s="60"/>
      <c r="K26" s="60"/>
      <c r="L26" s="5"/>
      <c r="M26" s="60"/>
      <c r="N26" s="61"/>
    </row>
    <row r="27" spans="1:16" ht="11.25">
      <c r="A27" s="20"/>
      <c r="B27" s="22"/>
      <c r="C27" s="4"/>
      <c r="D27" s="4"/>
      <c r="E27" s="3"/>
      <c r="F27" s="29" t="s">
        <v>61</v>
      </c>
      <c r="G27" s="313">
        <f>1481252.1-G28</f>
        <v>1383439.1</v>
      </c>
      <c r="H27" s="314"/>
      <c r="I27" s="5"/>
      <c r="J27" s="313">
        <f>1480291.24-J28</f>
        <v>1383495.24</v>
      </c>
      <c r="K27" s="314"/>
      <c r="L27" s="5"/>
      <c r="M27" s="313">
        <f>1468961.64-M28</f>
        <v>1374542.64</v>
      </c>
      <c r="N27" s="315"/>
      <c r="P27" s="10" t="s">
        <v>91</v>
      </c>
    </row>
    <row r="28" spans="1:16" ht="11.25">
      <c r="A28" s="20"/>
      <c r="B28" s="22"/>
      <c r="C28" s="4"/>
      <c r="D28" s="4"/>
      <c r="E28" s="3"/>
      <c r="F28" s="29" t="s">
        <v>62</v>
      </c>
      <c r="G28" s="313">
        <f>34309+63504</f>
        <v>97813</v>
      </c>
      <c r="H28" s="314"/>
      <c r="I28" s="5"/>
      <c r="J28" s="313">
        <f>34537+62259</f>
        <v>96796</v>
      </c>
      <c r="K28" s="314"/>
      <c r="L28" s="5"/>
      <c r="M28" s="313">
        <f>33581+60838</f>
        <v>94419</v>
      </c>
      <c r="N28" s="315"/>
      <c r="P28" s="10" t="s">
        <v>91</v>
      </c>
    </row>
    <row r="29" spans="1:16" ht="11.25">
      <c r="A29" s="20"/>
      <c r="B29" s="22"/>
      <c r="C29" s="4"/>
      <c r="D29" s="4"/>
      <c r="E29" s="3"/>
      <c r="F29" s="29" t="s">
        <v>63</v>
      </c>
      <c r="G29" s="310">
        <v>423188.05</v>
      </c>
      <c r="H29" s="311"/>
      <c r="I29" s="5"/>
      <c r="J29" s="310">
        <v>417044.12</v>
      </c>
      <c r="K29" s="311"/>
      <c r="L29" s="5"/>
      <c r="M29" s="310">
        <v>402350.74</v>
      </c>
      <c r="N29" s="312"/>
      <c r="P29" s="10" t="s">
        <v>90</v>
      </c>
    </row>
    <row r="30" spans="1:14" ht="11.25">
      <c r="A30" s="20"/>
      <c r="B30" s="22"/>
      <c r="C30" s="4"/>
      <c r="D30" s="4"/>
      <c r="E30" s="3"/>
      <c r="F30" s="29"/>
      <c r="G30" s="73"/>
      <c r="H30" s="74"/>
      <c r="I30" s="5"/>
      <c r="J30" s="73"/>
      <c r="K30" s="74"/>
      <c r="L30" s="5"/>
      <c r="M30" s="73"/>
      <c r="N30" s="75"/>
    </row>
    <row r="31" spans="1:18" ht="11.25">
      <c r="A31" s="20"/>
      <c r="B31" s="4"/>
      <c r="C31" s="4"/>
      <c r="D31" s="4"/>
      <c r="E31" s="3"/>
      <c r="F31" s="63" t="s">
        <v>64</v>
      </c>
      <c r="G31" s="299">
        <f>SUM(G27:H29)/(G11+G18)</f>
        <v>128.43540261667118</v>
      </c>
      <c r="H31" s="300"/>
      <c r="I31" s="22"/>
      <c r="J31" s="299">
        <f>SUM(J27:K29)/(J11+J18)</f>
        <v>98.49124584717607</v>
      </c>
      <c r="K31" s="300"/>
      <c r="L31" s="22"/>
      <c r="M31" s="299">
        <f>SUM(M27:N29)/(M11+M18)</f>
        <v>101.73493421767967</v>
      </c>
      <c r="N31" s="301"/>
      <c r="O31"/>
      <c r="P31" t="s">
        <v>32</v>
      </c>
      <c r="Q31"/>
      <c r="R31"/>
    </row>
    <row r="32" spans="1:14" ht="11.25">
      <c r="A32" s="21" t="s">
        <v>3</v>
      </c>
      <c r="B32" s="22"/>
      <c r="C32" s="4"/>
      <c r="D32" s="4"/>
      <c r="E32" s="3"/>
      <c r="F32" s="3"/>
      <c r="G32" s="8"/>
      <c r="H32" s="8"/>
      <c r="I32" s="3"/>
      <c r="J32" s="8"/>
      <c r="K32" s="8"/>
      <c r="L32" s="3"/>
      <c r="M32" s="8"/>
      <c r="N32" s="25"/>
    </row>
    <row r="33" spans="1:22" ht="11.25">
      <c r="A33" s="20"/>
      <c r="B33" s="22"/>
      <c r="C33" s="4"/>
      <c r="D33" s="48"/>
      <c r="E33" s="49"/>
      <c r="F33" s="50" t="s">
        <v>43</v>
      </c>
      <c r="G33" s="302">
        <f>2.8+1.8</f>
        <v>4.6</v>
      </c>
      <c r="H33" s="303"/>
      <c r="I33" s="56"/>
      <c r="J33" s="302">
        <f>3.2+1.7</f>
        <v>4.9</v>
      </c>
      <c r="K33" s="303"/>
      <c r="L33" s="56"/>
      <c r="M33" s="302">
        <f>4+1.6</f>
        <v>5.6</v>
      </c>
      <c r="N33" s="304"/>
      <c r="O33"/>
      <c r="P33" s="46" t="s">
        <v>47</v>
      </c>
      <c r="Q33" s="47"/>
      <c r="R33" s="47"/>
      <c r="S33" s="46"/>
      <c r="T33" s="46"/>
      <c r="U33" s="46"/>
      <c r="V33" s="46"/>
    </row>
    <row r="34" spans="1:22" ht="11.25">
      <c r="A34" s="20"/>
      <c r="B34" s="22"/>
      <c r="C34" s="4"/>
      <c r="D34" s="48"/>
      <c r="E34" s="49"/>
      <c r="F34" s="50" t="s">
        <v>44</v>
      </c>
      <c r="G34" s="302">
        <f>5.8/36*45</f>
        <v>7.249999999999999</v>
      </c>
      <c r="H34" s="303"/>
      <c r="I34" s="56"/>
      <c r="J34" s="302">
        <f>5.8/36*45</f>
        <v>7.249999999999999</v>
      </c>
      <c r="K34" s="303"/>
      <c r="L34" s="56"/>
      <c r="M34" s="302">
        <f>5.7/36*45</f>
        <v>7.125</v>
      </c>
      <c r="N34" s="304"/>
      <c r="O34"/>
      <c r="P34" s="46" t="s">
        <v>48</v>
      </c>
      <c r="Q34" s="47"/>
      <c r="R34" s="47"/>
      <c r="S34" s="46"/>
      <c r="T34" s="46"/>
      <c r="U34" s="46"/>
      <c r="V34" s="46"/>
    </row>
    <row r="35" spans="1:22" ht="11.25">
      <c r="A35" s="20"/>
      <c r="B35" s="22"/>
      <c r="C35" s="4"/>
      <c r="D35" s="48"/>
      <c r="E35" s="49"/>
      <c r="F35" s="50" t="s">
        <v>45</v>
      </c>
      <c r="G35" s="307">
        <f>0.7/36*45</f>
        <v>0.875</v>
      </c>
      <c r="H35" s="308"/>
      <c r="I35" s="56"/>
      <c r="J35" s="307">
        <f>0.2/36*45</f>
        <v>0.25</v>
      </c>
      <c r="K35" s="308"/>
      <c r="L35" s="56"/>
      <c r="M35" s="307">
        <f>0.2/36*45</f>
        <v>0.25</v>
      </c>
      <c r="N35" s="309"/>
      <c r="O35"/>
      <c r="P35" s="46" t="s">
        <v>50</v>
      </c>
      <c r="Q35" s="47"/>
      <c r="R35" s="47"/>
      <c r="S35" s="46"/>
      <c r="T35" s="46"/>
      <c r="U35" s="46"/>
      <c r="V35" s="46"/>
    </row>
    <row r="36" spans="1:22" ht="11.25">
      <c r="A36" s="20"/>
      <c r="B36" s="22"/>
      <c r="C36" s="4"/>
      <c r="D36" s="48"/>
      <c r="E36" s="49"/>
      <c r="F36" s="50" t="s">
        <v>46</v>
      </c>
      <c r="G36" s="305">
        <f>1.2/36*45</f>
        <v>1.5</v>
      </c>
      <c r="H36" s="305"/>
      <c r="I36" s="56"/>
      <c r="J36" s="305">
        <f>3.3/36*45</f>
        <v>4.125</v>
      </c>
      <c r="K36" s="305"/>
      <c r="L36" s="56"/>
      <c r="M36" s="305">
        <f>3.3/36*45</f>
        <v>4.125</v>
      </c>
      <c r="N36" s="306"/>
      <c r="O36"/>
      <c r="P36" s="46" t="s">
        <v>49</v>
      </c>
      <c r="Q36" s="47"/>
      <c r="R36" s="47"/>
      <c r="S36" s="46"/>
      <c r="T36" s="46"/>
      <c r="U36" s="46"/>
      <c r="V36" s="46"/>
    </row>
    <row r="37" spans="1:18" s="69" customFormat="1" ht="11.25">
      <c r="A37" s="64"/>
      <c r="B37" s="65"/>
      <c r="C37" s="66"/>
      <c r="D37" s="66"/>
      <c r="E37" s="5"/>
      <c r="F37" s="67"/>
      <c r="G37" s="70"/>
      <c r="H37" s="70"/>
      <c r="I37" s="68"/>
      <c r="J37" s="70"/>
      <c r="K37" s="70"/>
      <c r="L37" s="68"/>
      <c r="M37" s="70"/>
      <c r="N37" s="71"/>
      <c r="O37" s="12"/>
      <c r="Q37" s="12"/>
      <c r="R37" s="12"/>
    </row>
    <row r="38" spans="1:22" ht="11.25">
      <c r="A38" s="20"/>
      <c r="B38" s="22"/>
      <c r="C38" s="4"/>
      <c r="D38" s="48"/>
      <c r="E38" s="49"/>
      <c r="F38" s="50" t="s">
        <v>66</v>
      </c>
      <c r="G38" s="305">
        <f>2633+1737</f>
        <v>4370</v>
      </c>
      <c r="H38" s="305"/>
      <c r="I38" s="56"/>
      <c r="J38" s="305">
        <f>2560+1428</f>
        <v>3988</v>
      </c>
      <c r="K38" s="305"/>
      <c r="L38" s="56"/>
      <c r="M38" s="305">
        <f>3222+1200</f>
        <v>4422</v>
      </c>
      <c r="N38" s="306"/>
      <c r="O38"/>
      <c r="P38" s="46" t="s">
        <v>72</v>
      </c>
      <c r="Q38" s="47"/>
      <c r="R38" s="47"/>
      <c r="S38" s="46"/>
      <c r="T38" s="46"/>
      <c r="U38" s="46"/>
      <c r="V38" s="46"/>
    </row>
    <row r="39" spans="1:22" ht="11.25">
      <c r="A39" s="20"/>
      <c r="B39" s="22"/>
      <c r="C39" s="4"/>
      <c r="D39" s="48"/>
      <c r="E39" s="49"/>
      <c r="F39" s="50" t="s">
        <v>65</v>
      </c>
      <c r="G39" s="299">
        <v>8551</v>
      </c>
      <c r="H39" s="300"/>
      <c r="I39" s="56"/>
      <c r="J39" s="299">
        <v>9264</v>
      </c>
      <c r="K39" s="300"/>
      <c r="L39" s="56"/>
      <c r="M39" s="299">
        <v>8630</v>
      </c>
      <c r="N39" s="301"/>
      <c r="O39"/>
      <c r="P39" s="46" t="s">
        <v>73</v>
      </c>
      <c r="Q39" s="47"/>
      <c r="R39" s="47"/>
      <c r="S39" s="46"/>
      <c r="T39" s="46"/>
      <c r="U39" s="46"/>
      <c r="V39" s="46"/>
    </row>
    <row r="40" spans="1:22" ht="11.25">
      <c r="A40" s="20"/>
      <c r="B40" s="22"/>
      <c r="C40" s="4"/>
      <c r="D40" s="48"/>
      <c r="E40" s="49"/>
      <c r="F40" s="50" t="s">
        <v>67</v>
      </c>
      <c r="G40" s="302">
        <v>554</v>
      </c>
      <c r="H40" s="303"/>
      <c r="I40" s="56"/>
      <c r="J40" s="302">
        <v>120</v>
      </c>
      <c r="K40" s="303"/>
      <c r="L40" s="56"/>
      <c r="M40" s="302">
        <v>85</v>
      </c>
      <c r="N40" s="304"/>
      <c r="O40"/>
      <c r="P40" s="46" t="s">
        <v>75</v>
      </c>
      <c r="Q40" s="47"/>
      <c r="R40" s="47"/>
      <c r="S40" s="46"/>
      <c r="T40" s="46"/>
      <c r="U40" s="46"/>
      <c r="V40" s="46"/>
    </row>
    <row r="41" spans="1:22" ht="11.25">
      <c r="A41" s="20"/>
      <c r="B41" s="22"/>
      <c r="C41" s="4"/>
      <c r="D41" s="48"/>
      <c r="E41" s="49"/>
      <c r="F41" s="50" t="s">
        <v>68</v>
      </c>
      <c r="G41" s="302">
        <v>1353</v>
      </c>
      <c r="H41" s="303"/>
      <c r="I41" s="56"/>
      <c r="J41" s="302">
        <v>5892</v>
      </c>
      <c r="K41" s="303"/>
      <c r="L41" s="56"/>
      <c r="M41" s="302">
        <v>5257</v>
      </c>
      <c r="N41" s="304"/>
      <c r="O41"/>
      <c r="P41" s="46" t="s">
        <v>74</v>
      </c>
      <c r="Q41" s="47"/>
      <c r="R41" s="47"/>
      <c r="S41" s="46"/>
      <c r="T41" s="46"/>
      <c r="U41" s="46"/>
      <c r="V41" s="46"/>
    </row>
    <row r="42" spans="1:18" ht="11.25">
      <c r="A42" s="20"/>
      <c r="B42" s="4"/>
      <c r="C42" s="4"/>
      <c r="D42" s="4"/>
      <c r="E42" s="3"/>
      <c r="F42" s="3"/>
      <c r="G42" s="9"/>
      <c r="H42" s="9"/>
      <c r="I42" s="22"/>
      <c r="J42" s="9"/>
      <c r="K42" s="9"/>
      <c r="L42" s="22"/>
      <c r="M42" s="9"/>
      <c r="N42" s="26"/>
      <c r="O42"/>
      <c r="P42"/>
      <c r="Q42"/>
      <c r="R42"/>
    </row>
    <row r="43" spans="1:18" ht="11.25">
      <c r="A43" s="20"/>
      <c r="B43" s="22"/>
      <c r="C43" s="4"/>
      <c r="D43" s="4"/>
      <c r="E43" s="3"/>
      <c r="F43" s="29" t="s">
        <v>22</v>
      </c>
      <c r="G43" s="302">
        <f>+(G11+G18)/(G33+G34)</f>
        <v>1251.3080168776373</v>
      </c>
      <c r="H43" s="303"/>
      <c r="I43" s="22"/>
      <c r="J43" s="302">
        <f>+(J11+J18)/(J33+J34)</f>
        <v>1585.5144032921812</v>
      </c>
      <c r="K43" s="303"/>
      <c r="L43" s="22"/>
      <c r="M43" s="302">
        <f>+(M11+M18)/(M33+M34)</f>
        <v>1445.500982318271</v>
      </c>
      <c r="N43" s="303"/>
      <c r="O43"/>
      <c r="P43" t="s">
        <v>32</v>
      </c>
      <c r="Q43"/>
      <c r="R43"/>
    </row>
    <row r="44" spans="1:18" ht="11.25">
      <c r="A44" s="20"/>
      <c r="B44" s="22"/>
      <c r="C44" s="4"/>
      <c r="D44" s="4"/>
      <c r="E44" s="3"/>
      <c r="F44" s="29" t="s">
        <v>216</v>
      </c>
      <c r="G44" s="332">
        <f>(G11+G18)/SUM(G33:H36)</f>
        <v>1042.390158172232</v>
      </c>
      <c r="H44" s="332"/>
      <c r="I44" s="22"/>
      <c r="J44" s="332">
        <f>(J11+J18)/SUM(J33:K36)</f>
        <v>1165.748865355522</v>
      </c>
      <c r="K44" s="332"/>
      <c r="L44" s="22"/>
      <c r="M44" s="332">
        <f>(M11+M18)/SUM(M33:N36)</f>
        <v>1075.672514619883</v>
      </c>
      <c r="N44" s="332"/>
      <c r="O44"/>
      <c r="P44"/>
      <c r="Q44"/>
      <c r="R44"/>
    </row>
    <row r="45" spans="1:17" ht="11.25">
      <c r="A45" s="20"/>
      <c r="B45" s="4"/>
      <c r="C45" s="4"/>
      <c r="D45" s="4"/>
      <c r="E45" s="3"/>
      <c r="F45" s="3"/>
      <c r="G45" s="34" t="s">
        <v>24</v>
      </c>
      <c r="H45" s="34" t="s">
        <v>23</v>
      </c>
      <c r="I45" s="28"/>
      <c r="J45" s="34" t="s">
        <v>24</v>
      </c>
      <c r="K45" s="34" t="s">
        <v>23</v>
      </c>
      <c r="L45" s="28"/>
      <c r="M45" s="34" t="s">
        <v>24</v>
      </c>
      <c r="N45" s="35" t="s">
        <v>23</v>
      </c>
      <c r="O45" s="14"/>
      <c r="P45" s="13"/>
      <c r="Q45" s="31"/>
    </row>
    <row r="46" spans="1:22" ht="11.25">
      <c r="A46" s="20"/>
      <c r="B46" s="4"/>
      <c r="C46" s="4"/>
      <c r="D46" s="52"/>
      <c r="E46" s="53"/>
      <c r="F46" s="54" t="s">
        <v>25</v>
      </c>
      <c r="G46" s="76">
        <v>8</v>
      </c>
      <c r="H46" s="32">
        <f>G46/SUM($G$46:$G$49)</f>
        <v>0.5365526492287056</v>
      </c>
      <c r="I46" s="28"/>
      <c r="J46" s="76">
        <v>8</v>
      </c>
      <c r="K46" s="32">
        <f>J46/SUM($J$46:$J$49)</f>
        <v>0.46538685282140774</v>
      </c>
      <c r="L46" s="28"/>
      <c r="M46" s="76">
        <v>8</v>
      </c>
      <c r="N46" s="36">
        <f>M46/SUM($M$46:$M$49)</f>
        <v>0.46538685282140774</v>
      </c>
      <c r="O46" s="14"/>
      <c r="P46" s="55" t="s">
        <v>84</v>
      </c>
      <c r="Q46" s="51"/>
      <c r="R46" s="55"/>
      <c r="S46" s="55"/>
      <c r="T46" s="55"/>
      <c r="U46" s="55"/>
      <c r="V46" s="55"/>
    </row>
    <row r="47" spans="1:22" ht="11.25">
      <c r="A47" s="20"/>
      <c r="B47" s="4"/>
      <c r="C47" s="4"/>
      <c r="D47" s="52"/>
      <c r="E47" s="53"/>
      <c r="F47" s="54" t="s">
        <v>13</v>
      </c>
      <c r="G47" s="76">
        <v>6</v>
      </c>
      <c r="H47" s="32">
        <f aca="true" t="shared" si="0" ref="H47:H49">G47/SUM($G$46:$G$49)</f>
        <v>0.40241448692152915</v>
      </c>
      <c r="I47" s="28"/>
      <c r="J47" s="76">
        <v>6</v>
      </c>
      <c r="K47" s="32">
        <f aca="true" t="shared" si="1" ref="K47:K49">J47/SUM($J$46:$J$49)</f>
        <v>0.34904013961605584</v>
      </c>
      <c r="L47" s="28"/>
      <c r="M47" s="76">
        <v>6</v>
      </c>
      <c r="N47" s="36">
        <f aca="true" t="shared" si="2" ref="N47:N49">M47/SUM($M$46:$M$49)</f>
        <v>0.34904013961605584</v>
      </c>
      <c r="O47" s="14"/>
      <c r="P47" s="55" t="s">
        <v>84</v>
      </c>
      <c r="Q47" s="51"/>
      <c r="R47" s="55"/>
      <c r="S47" s="55"/>
      <c r="T47" s="55"/>
      <c r="U47" s="55"/>
      <c r="V47" s="55"/>
    </row>
    <row r="48" spans="1:22" ht="11.25">
      <c r="A48" s="20"/>
      <c r="B48" s="4"/>
      <c r="C48" s="4"/>
      <c r="D48" s="52"/>
      <c r="E48" s="53"/>
      <c r="F48" s="54" t="s">
        <v>51</v>
      </c>
      <c r="G48" s="76">
        <v>0.91</v>
      </c>
      <c r="H48" s="32">
        <f t="shared" si="0"/>
        <v>0.06103286384976526</v>
      </c>
      <c r="I48" s="28"/>
      <c r="J48" s="76">
        <v>0.4</v>
      </c>
      <c r="K48" s="32">
        <f t="shared" si="1"/>
        <v>0.02326934264107039</v>
      </c>
      <c r="L48" s="28"/>
      <c r="M48" s="77">
        <v>0.4</v>
      </c>
      <c r="N48" s="36">
        <f t="shared" si="2"/>
        <v>0.02326934264107039</v>
      </c>
      <c r="O48" s="14"/>
      <c r="P48" s="55" t="s">
        <v>85</v>
      </c>
      <c r="Q48" s="51"/>
      <c r="R48" s="55"/>
      <c r="S48" s="55"/>
      <c r="T48" s="55"/>
      <c r="U48" s="55"/>
      <c r="V48" s="55"/>
    </row>
    <row r="49" spans="1:22" ht="11.25">
      <c r="A49" s="20"/>
      <c r="B49" s="4"/>
      <c r="C49" s="4"/>
      <c r="D49" s="52"/>
      <c r="E49" s="53"/>
      <c r="F49" s="54" t="s">
        <v>52</v>
      </c>
      <c r="G49" s="76">
        <v>0</v>
      </c>
      <c r="H49" s="32">
        <f t="shared" si="0"/>
        <v>0</v>
      </c>
      <c r="I49" s="28"/>
      <c r="J49" s="76">
        <v>2.79</v>
      </c>
      <c r="K49" s="32">
        <f t="shared" si="1"/>
        <v>0.16230366492146595</v>
      </c>
      <c r="L49" s="28"/>
      <c r="M49" s="76">
        <v>2.79</v>
      </c>
      <c r="N49" s="36">
        <f t="shared" si="2"/>
        <v>0.16230366492146595</v>
      </c>
      <c r="O49" s="14"/>
      <c r="P49" s="55" t="s">
        <v>85</v>
      </c>
      <c r="Q49" s="51"/>
      <c r="R49" s="55"/>
      <c r="S49" s="55"/>
      <c r="T49" s="55"/>
      <c r="U49" s="55"/>
      <c r="V49" s="55"/>
    </row>
    <row r="50" spans="1:14" ht="11.25">
      <c r="A50" s="21" t="s">
        <v>4</v>
      </c>
      <c r="B50" s="22"/>
      <c r="C50" s="4"/>
      <c r="D50" s="4"/>
      <c r="E50" s="3"/>
      <c r="F50" s="3"/>
      <c r="G50" s="8"/>
      <c r="H50" s="8"/>
      <c r="I50" s="3"/>
      <c r="J50" s="8"/>
      <c r="K50" s="8"/>
      <c r="L50" s="3"/>
      <c r="M50" s="8"/>
      <c r="N50" s="25"/>
    </row>
    <row r="51" spans="1:16" ht="11.25">
      <c r="A51" s="21"/>
      <c r="B51" s="22"/>
      <c r="C51" s="4"/>
      <c r="D51" s="4"/>
      <c r="E51" s="3"/>
      <c r="F51" s="63" t="s">
        <v>77</v>
      </c>
      <c r="G51" s="293">
        <v>0.888</v>
      </c>
      <c r="H51" s="294"/>
      <c r="I51" s="72"/>
      <c r="J51" s="293">
        <v>0.878</v>
      </c>
      <c r="K51" s="294"/>
      <c r="L51" s="72"/>
      <c r="M51" s="293">
        <v>0.864</v>
      </c>
      <c r="N51" s="295"/>
      <c r="P51" s="10" t="s">
        <v>87</v>
      </c>
    </row>
    <row r="52" spans="1:16" ht="11.25">
      <c r="A52" s="21"/>
      <c r="B52" s="22"/>
      <c r="C52" s="4"/>
      <c r="D52" s="4"/>
      <c r="E52" s="3"/>
      <c r="F52" s="63" t="s">
        <v>76</v>
      </c>
      <c r="G52" s="293">
        <v>0.148</v>
      </c>
      <c r="H52" s="294"/>
      <c r="I52" s="72"/>
      <c r="J52" s="293">
        <v>0.118</v>
      </c>
      <c r="K52" s="294"/>
      <c r="L52" s="72"/>
      <c r="M52" s="293">
        <v>0.129</v>
      </c>
      <c r="N52" s="295"/>
      <c r="P52" s="10" t="s">
        <v>79</v>
      </c>
    </row>
    <row r="53" spans="1:16" ht="11" customHeight="1">
      <c r="A53" s="20"/>
      <c r="B53" s="23"/>
      <c r="C53" s="4"/>
      <c r="D53" s="4"/>
      <c r="E53" s="3"/>
      <c r="F53" s="29" t="s">
        <v>10</v>
      </c>
      <c r="G53" s="296">
        <v>14</v>
      </c>
      <c r="H53" s="297"/>
      <c r="I53" s="3"/>
      <c r="J53" s="296">
        <v>17</v>
      </c>
      <c r="K53" s="297"/>
      <c r="L53" s="3"/>
      <c r="M53" s="296">
        <v>14</v>
      </c>
      <c r="N53" s="298"/>
      <c r="P53" s="10" t="s">
        <v>34</v>
      </c>
    </row>
    <row r="54" spans="1:16" ht="11.25">
      <c r="A54" s="20"/>
      <c r="B54" s="23"/>
      <c r="C54" s="4"/>
      <c r="D54" s="4"/>
      <c r="E54" s="3"/>
      <c r="F54" s="29" t="s">
        <v>8</v>
      </c>
      <c r="G54" s="296">
        <v>28</v>
      </c>
      <c r="H54" s="297"/>
      <c r="I54" s="14"/>
      <c r="J54" s="296">
        <v>31</v>
      </c>
      <c r="K54" s="297"/>
      <c r="L54" s="14"/>
      <c r="M54" s="296">
        <v>31</v>
      </c>
      <c r="N54" s="298"/>
      <c r="P54" s="10" t="s">
        <v>36</v>
      </c>
    </row>
    <row r="55" spans="1:16" ht="11.25">
      <c r="A55" s="20"/>
      <c r="B55" s="23"/>
      <c r="C55" s="4"/>
      <c r="D55" s="4"/>
      <c r="E55" s="3"/>
      <c r="F55" s="42" t="s">
        <v>11</v>
      </c>
      <c r="G55" s="296">
        <v>23.9</v>
      </c>
      <c r="H55" s="297"/>
      <c r="I55" s="3"/>
      <c r="J55" s="296">
        <v>22.2</v>
      </c>
      <c r="K55" s="297"/>
      <c r="L55" s="3"/>
      <c r="M55" s="296">
        <v>22.6</v>
      </c>
      <c r="N55" s="298"/>
      <c r="P55" s="10" t="s">
        <v>42</v>
      </c>
    </row>
    <row r="56" spans="1:19" ht="11.25">
      <c r="A56" s="20"/>
      <c r="B56" s="22"/>
      <c r="C56" s="4"/>
      <c r="D56" s="4"/>
      <c r="E56" s="3"/>
      <c r="F56" s="29" t="s">
        <v>9</v>
      </c>
      <c r="G56" s="293">
        <v>0.83</v>
      </c>
      <c r="H56" s="294"/>
      <c r="I56" s="3"/>
      <c r="J56" s="293">
        <v>0.95</v>
      </c>
      <c r="K56" s="294"/>
      <c r="L56" s="3"/>
      <c r="M56" s="293">
        <v>0.94</v>
      </c>
      <c r="N56" s="295"/>
      <c r="P56" s="10" t="s">
        <v>37</v>
      </c>
      <c r="Q56"/>
      <c r="R56"/>
      <c r="S56"/>
    </row>
    <row r="57" spans="1:19" ht="11.25">
      <c r="A57" s="20"/>
      <c r="B57" s="22"/>
      <c r="C57" s="4"/>
      <c r="D57" s="4"/>
      <c r="E57" s="27"/>
      <c r="F57" s="29" t="s">
        <v>12</v>
      </c>
      <c r="G57" s="296">
        <v>3</v>
      </c>
      <c r="H57" s="297"/>
      <c r="I57" s="28"/>
      <c r="J57" s="296">
        <v>1</v>
      </c>
      <c r="K57" s="297"/>
      <c r="L57" s="28"/>
      <c r="M57" s="296">
        <v>2</v>
      </c>
      <c r="N57" s="298"/>
      <c r="P57" s="10" t="s">
        <v>38</v>
      </c>
      <c r="Q57"/>
      <c r="R57"/>
      <c r="S57"/>
    </row>
    <row r="58" spans="1:19" ht="11.25">
      <c r="A58" s="20"/>
      <c r="B58" s="22"/>
      <c r="C58" s="4"/>
      <c r="D58" s="4"/>
      <c r="E58" s="3"/>
      <c r="F58" s="29" t="s">
        <v>19</v>
      </c>
      <c r="G58" s="293">
        <v>0.067</v>
      </c>
      <c r="H58" s="294"/>
      <c r="I58" s="28"/>
      <c r="J58" s="293">
        <v>0.049</v>
      </c>
      <c r="K58" s="294"/>
      <c r="L58" s="28"/>
      <c r="M58" s="293">
        <v>0.069</v>
      </c>
      <c r="N58" s="295"/>
      <c r="P58" s="10" t="s">
        <v>39</v>
      </c>
      <c r="Q58"/>
      <c r="R58"/>
      <c r="S58"/>
    </row>
    <row r="59" spans="1:19" ht="11.25">
      <c r="A59" s="20"/>
      <c r="B59" s="22"/>
      <c r="C59" s="4"/>
      <c r="D59" s="4"/>
      <c r="E59" s="3"/>
      <c r="F59" s="29" t="s">
        <v>0</v>
      </c>
      <c r="G59" s="293">
        <v>-0.038</v>
      </c>
      <c r="H59" s="294"/>
      <c r="I59" s="28"/>
      <c r="J59" s="293">
        <v>-0.059</v>
      </c>
      <c r="K59" s="294"/>
      <c r="L59" s="28"/>
      <c r="M59" s="293">
        <v>0.085</v>
      </c>
      <c r="N59" s="295"/>
      <c r="P59" s="10" t="s">
        <v>40</v>
      </c>
      <c r="Q59"/>
      <c r="R59"/>
      <c r="S59"/>
    </row>
    <row r="60" spans="1:14" ht="11.25">
      <c r="A60" s="21" t="s">
        <v>1</v>
      </c>
      <c r="B60" s="28"/>
      <c r="C60" s="28"/>
      <c r="D60" s="28"/>
      <c r="E60" s="28"/>
      <c r="F60" s="28"/>
      <c r="G60" s="28"/>
      <c r="H60" s="28"/>
      <c r="I60" s="28"/>
      <c r="J60" s="28"/>
      <c r="K60" s="28"/>
      <c r="L60" s="28"/>
      <c r="M60" s="28"/>
      <c r="N60" s="33"/>
    </row>
    <row r="61" spans="1:16" ht="11" customHeight="1">
      <c r="A61" s="37" t="s">
        <v>113</v>
      </c>
      <c r="B61" s="28"/>
      <c r="C61" s="28"/>
      <c r="D61" s="28"/>
      <c r="E61" s="28"/>
      <c r="F61" s="28"/>
      <c r="G61" s="28"/>
      <c r="H61" s="28"/>
      <c r="I61" s="28"/>
      <c r="J61" s="28"/>
      <c r="K61" s="28"/>
      <c r="L61" s="28"/>
      <c r="M61" s="28"/>
      <c r="N61" s="33"/>
      <c r="P61" t="s">
        <v>35</v>
      </c>
    </row>
    <row r="62" spans="1:14" ht="11.25">
      <c r="A62" s="38"/>
      <c r="B62" s="23"/>
      <c r="C62" s="23"/>
      <c r="D62" s="23"/>
      <c r="E62" s="23"/>
      <c r="F62" s="23"/>
      <c r="G62" s="23"/>
      <c r="H62" s="23"/>
      <c r="I62" s="23"/>
      <c r="J62" s="23"/>
      <c r="K62" s="23"/>
      <c r="L62" s="23"/>
      <c r="M62" s="23"/>
      <c r="N62" s="24"/>
    </row>
    <row r="63" spans="1:14" ht="11.25">
      <c r="A63" s="38"/>
      <c r="B63" s="23"/>
      <c r="C63" s="23"/>
      <c r="D63" s="23"/>
      <c r="E63" s="23"/>
      <c r="F63" s="23"/>
      <c r="G63" s="23"/>
      <c r="H63" s="23"/>
      <c r="I63" s="23"/>
      <c r="J63" s="23"/>
      <c r="K63" s="23"/>
      <c r="L63" s="23"/>
      <c r="M63" s="23"/>
      <c r="N63" s="24"/>
    </row>
    <row r="64" spans="1:16" ht="11.25">
      <c r="A64" s="38"/>
      <c r="B64" s="23"/>
      <c r="C64" s="23"/>
      <c r="D64" s="23"/>
      <c r="E64" s="23"/>
      <c r="F64" s="23"/>
      <c r="G64" s="23"/>
      <c r="H64" s="23"/>
      <c r="I64" s="23"/>
      <c r="J64" s="23"/>
      <c r="K64" s="23"/>
      <c r="L64" s="23"/>
      <c r="M64" s="23"/>
      <c r="N64" s="24"/>
      <c r="P64" s="44" t="s">
        <v>41</v>
      </c>
    </row>
    <row r="65" spans="1:14" ht="11.25">
      <c r="A65" s="38"/>
      <c r="B65" s="23"/>
      <c r="C65" s="23"/>
      <c r="D65" s="23"/>
      <c r="E65" s="23"/>
      <c r="F65" s="23"/>
      <c r="G65" s="23"/>
      <c r="H65" s="23"/>
      <c r="I65" s="23"/>
      <c r="J65" s="23"/>
      <c r="K65" s="23"/>
      <c r="L65" s="23"/>
      <c r="M65" s="23"/>
      <c r="N65" s="24"/>
    </row>
    <row r="66" spans="1:14" ht="12.75" thickBot="1">
      <c r="A66" s="39"/>
      <c r="B66" s="40"/>
      <c r="C66" s="40"/>
      <c r="D66" s="40"/>
      <c r="E66" s="40"/>
      <c r="F66" s="40"/>
      <c r="G66" s="40"/>
      <c r="H66" s="40"/>
      <c r="I66" s="40"/>
      <c r="J66" s="40"/>
      <c r="K66" s="40"/>
      <c r="L66" s="40"/>
      <c r="M66" s="40"/>
      <c r="N66" s="41"/>
    </row>
  </sheetData>
  <mergeCells count="122">
    <mergeCell ref="G5:H5"/>
    <mergeCell ref="G6:H6"/>
    <mergeCell ref="G7:H7"/>
    <mergeCell ref="G8:H8"/>
    <mergeCell ref="G9:H9"/>
    <mergeCell ref="J9:K9"/>
    <mergeCell ref="G2:N2"/>
    <mergeCell ref="G3:H3"/>
    <mergeCell ref="J3:K3"/>
    <mergeCell ref="M3:N3"/>
    <mergeCell ref="G4:H4"/>
    <mergeCell ref="J4:K4"/>
    <mergeCell ref="M4:N4"/>
    <mergeCell ref="G13:H13"/>
    <mergeCell ref="J13:K13"/>
    <mergeCell ref="M13:N13"/>
    <mergeCell ref="G14:H14"/>
    <mergeCell ref="J14:K14"/>
    <mergeCell ref="M14:N14"/>
    <mergeCell ref="M9:N9"/>
    <mergeCell ref="G11:H11"/>
    <mergeCell ref="J11:K11"/>
    <mergeCell ref="M11:N11"/>
    <mergeCell ref="G12:H12"/>
    <mergeCell ref="J12:K12"/>
    <mergeCell ref="M12:N12"/>
    <mergeCell ref="G18:H18"/>
    <mergeCell ref="J18:K18"/>
    <mergeCell ref="M18:N18"/>
    <mergeCell ref="G19:H19"/>
    <mergeCell ref="J19:K19"/>
    <mergeCell ref="M19:N19"/>
    <mergeCell ref="G15:H15"/>
    <mergeCell ref="J15:K15"/>
    <mergeCell ref="M15:N15"/>
    <mergeCell ref="G16:H16"/>
    <mergeCell ref="J16:K16"/>
    <mergeCell ref="M16:N16"/>
    <mergeCell ref="G22:H22"/>
    <mergeCell ref="J22:K22"/>
    <mergeCell ref="M22:N22"/>
    <mergeCell ref="G24:H24"/>
    <mergeCell ref="J24:K24"/>
    <mergeCell ref="M24:N24"/>
    <mergeCell ref="G20:H20"/>
    <mergeCell ref="J20:K20"/>
    <mergeCell ref="M20:N20"/>
    <mergeCell ref="G21:H21"/>
    <mergeCell ref="J21:K21"/>
    <mergeCell ref="M21:N21"/>
    <mergeCell ref="G28:H28"/>
    <mergeCell ref="J28:K28"/>
    <mergeCell ref="M28:N28"/>
    <mergeCell ref="G29:H29"/>
    <mergeCell ref="J29:K29"/>
    <mergeCell ref="M29:N29"/>
    <mergeCell ref="G25:H25"/>
    <mergeCell ref="J25:K25"/>
    <mergeCell ref="M25:N25"/>
    <mergeCell ref="G27:H27"/>
    <mergeCell ref="J27:K27"/>
    <mergeCell ref="M27:N27"/>
    <mergeCell ref="G34:H34"/>
    <mergeCell ref="J34:K34"/>
    <mergeCell ref="M34:N34"/>
    <mergeCell ref="G35:H35"/>
    <mergeCell ref="J35:K35"/>
    <mergeCell ref="M35:N35"/>
    <mergeCell ref="G31:H31"/>
    <mergeCell ref="J31:K31"/>
    <mergeCell ref="M31:N31"/>
    <mergeCell ref="G33:H33"/>
    <mergeCell ref="J33:K33"/>
    <mergeCell ref="M33:N33"/>
    <mergeCell ref="G39:H39"/>
    <mergeCell ref="J39:K39"/>
    <mergeCell ref="M39:N39"/>
    <mergeCell ref="G40:H40"/>
    <mergeCell ref="J40:K40"/>
    <mergeCell ref="M40:N40"/>
    <mergeCell ref="G36:H36"/>
    <mergeCell ref="J36:K36"/>
    <mergeCell ref="M36:N36"/>
    <mergeCell ref="G38:H38"/>
    <mergeCell ref="J38:K38"/>
    <mergeCell ref="M38:N38"/>
    <mergeCell ref="G51:H51"/>
    <mergeCell ref="J51:K51"/>
    <mergeCell ref="M51:N51"/>
    <mergeCell ref="G52:H52"/>
    <mergeCell ref="J52:K52"/>
    <mergeCell ref="M52:N52"/>
    <mergeCell ref="G41:H41"/>
    <mergeCell ref="J41:K41"/>
    <mergeCell ref="M41:N41"/>
    <mergeCell ref="G43:H43"/>
    <mergeCell ref="J43:K43"/>
    <mergeCell ref="M43:N43"/>
    <mergeCell ref="G59:H59"/>
    <mergeCell ref="J59:K59"/>
    <mergeCell ref="M59:N59"/>
    <mergeCell ref="G44:H44"/>
    <mergeCell ref="J44:K44"/>
    <mergeCell ref="M44:N44"/>
    <mergeCell ref="G57:H57"/>
    <mergeCell ref="J57:K57"/>
    <mergeCell ref="M57:N57"/>
    <mergeCell ref="G58:H58"/>
    <mergeCell ref="J58:K58"/>
    <mergeCell ref="M58:N58"/>
    <mergeCell ref="G55:H55"/>
    <mergeCell ref="J55:K55"/>
    <mergeCell ref="M55:N55"/>
    <mergeCell ref="G56:H56"/>
    <mergeCell ref="J56:K56"/>
    <mergeCell ref="M56:N56"/>
    <mergeCell ref="G53:H53"/>
    <mergeCell ref="J53:K53"/>
    <mergeCell ref="M53:N53"/>
    <mergeCell ref="G54:H54"/>
    <mergeCell ref="J54:K54"/>
    <mergeCell ref="M54:N54"/>
  </mergeCells>
  <printOptions/>
  <pageMargins left="0.25" right="0.25" top="0.75" bottom="0.75" header="0.3" footer="0.3"/>
  <pageSetup fitToHeight="1" fitToWidth="1" horizontalDpi="1200" verticalDpi="1200" orientation="portrait" scale="94" r:id="rId3"/>
  <colBreaks count="1" manualBreakCount="1">
    <brk id="14" max="16383" man="1"/>
  </colBreaks>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V65"/>
  <sheetViews>
    <sheetView showGridLines="0" workbookViewId="0" topLeftCell="A10">
      <selection activeCell="B2" sqref="B2"/>
    </sheetView>
  </sheetViews>
  <sheetFormatPr defaultColWidth="9.00390625" defaultRowHeight="11.25"/>
  <cols>
    <col min="1" max="1" width="4.625" style="1" customWidth="1"/>
    <col min="2" max="5" width="9.00390625" style="1" customWidth="1"/>
    <col min="6" max="6" width="7.125" style="1" customWidth="1"/>
    <col min="7" max="8" width="9.125" style="1" customWidth="1"/>
    <col min="9" max="9" width="1.75390625" style="1" customWidth="1"/>
    <col min="10" max="11" width="9.125" style="1" customWidth="1"/>
    <col min="12" max="12" width="1.75390625" style="1" customWidth="1"/>
    <col min="13" max="14" width="9.125" style="1" customWidth="1"/>
    <col min="15" max="15" width="3.75390625" style="10" customWidth="1"/>
    <col min="16" max="16384" width="9.00390625" style="10" customWidth="1"/>
  </cols>
  <sheetData>
    <row r="1" spans="1:14" s="12" customFormat="1" ht="11.25">
      <c r="A1" s="17" t="s">
        <v>88</v>
      </c>
      <c r="B1" s="18"/>
      <c r="C1" s="18"/>
      <c r="D1" s="18"/>
      <c r="E1" s="18"/>
      <c r="F1" s="18"/>
      <c r="G1" s="18"/>
      <c r="H1" s="18"/>
      <c r="I1" s="18"/>
      <c r="J1" s="18"/>
      <c r="K1" s="18"/>
      <c r="L1" s="18"/>
      <c r="M1" s="18"/>
      <c r="N1" s="19"/>
    </row>
    <row r="2" spans="1:16" s="12" customFormat="1" ht="11.25">
      <c r="A2" s="20" t="s">
        <v>89</v>
      </c>
      <c r="B2" s="15"/>
      <c r="C2" s="15"/>
      <c r="D2" s="15"/>
      <c r="E2" s="15"/>
      <c r="F2" s="15"/>
      <c r="G2" s="328" t="s">
        <v>26</v>
      </c>
      <c r="H2" s="328"/>
      <c r="I2" s="328"/>
      <c r="J2" s="328"/>
      <c r="K2" s="328"/>
      <c r="L2" s="328"/>
      <c r="M2" s="328"/>
      <c r="N2" s="329"/>
      <c r="P2" s="43" t="s">
        <v>27</v>
      </c>
    </row>
    <row r="3" spans="1:14" ht="11.25">
      <c r="A3" s="45"/>
      <c r="B3" s="2"/>
      <c r="C3" s="2"/>
      <c r="D3" s="2"/>
      <c r="E3" s="2"/>
      <c r="F3" s="16" t="s">
        <v>14</v>
      </c>
      <c r="G3" s="330">
        <v>19</v>
      </c>
      <c r="H3" s="327"/>
      <c r="I3" s="2"/>
      <c r="J3" s="330">
        <v>18</v>
      </c>
      <c r="K3" s="327"/>
      <c r="L3" s="2"/>
      <c r="M3" s="330">
        <v>17</v>
      </c>
      <c r="N3" s="331"/>
    </row>
    <row r="4" spans="1:14" ht="11.25">
      <c r="A4" s="20"/>
      <c r="B4" s="2"/>
      <c r="C4" s="2"/>
      <c r="D4" s="2"/>
      <c r="E4" s="2"/>
      <c r="F4" s="16" t="s">
        <v>15</v>
      </c>
      <c r="G4" s="330" t="s">
        <v>80</v>
      </c>
      <c r="H4" s="327"/>
      <c r="I4" s="2"/>
      <c r="J4" s="330" t="s">
        <v>81</v>
      </c>
      <c r="K4" s="327"/>
      <c r="L4" s="2"/>
      <c r="M4" s="330" t="s">
        <v>82</v>
      </c>
      <c r="N4" s="331"/>
    </row>
    <row r="5" spans="1:14" ht="11.25">
      <c r="A5" s="20"/>
      <c r="B5" s="2"/>
      <c r="C5" s="2"/>
      <c r="D5" s="2"/>
      <c r="E5" s="2"/>
      <c r="F5" s="16" t="s">
        <v>16</v>
      </c>
      <c r="G5" s="321" t="s">
        <v>99</v>
      </c>
      <c r="H5" s="322"/>
      <c r="I5" s="2"/>
      <c r="J5" s="28"/>
      <c r="K5" s="28"/>
      <c r="L5" s="28"/>
      <c r="M5" s="28"/>
      <c r="N5" s="33"/>
    </row>
    <row r="6" spans="1:14" ht="11.4" customHeight="1">
      <c r="A6" s="20"/>
      <c r="B6" s="2"/>
      <c r="C6" s="2"/>
      <c r="D6" s="2"/>
      <c r="E6" s="2"/>
      <c r="F6" s="16" t="s">
        <v>17</v>
      </c>
      <c r="G6" s="323" t="s">
        <v>114</v>
      </c>
      <c r="H6" s="323"/>
      <c r="I6" s="2"/>
      <c r="J6" s="28"/>
      <c r="K6" s="28"/>
      <c r="L6" s="28"/>
      <c r="M6" s="28"/>
      <c r="N6" s="33"/>
    </row>
    <row r="7" spans="1:14" ht="11.25">
      <c r="A7" s="20"/>
      <c r="B7" s="2"/>
      <c r="C7" s="2"/>
      <c r="D7" s="2"/>
      <c r="E7" s="2"/>
      <c r="F7" s="16" t="s">
        <v>33</v>
      </c>
      <c r="G7" s="324" t="s">
        <v>97</v>
      </c>
      <c r="H7" s="325"/>
      <c r="I7" s="2"/>
      <c r="J7" s="28"/>
      <c r="K7" s="28"/>
      <c r="L7" s="28"/>
      <c r="M7" s="28"/>
      <c r="N7" s="33"/>
    </row>
    <row r="8" spans="1:14" ht="11.25">
      <c r="A8" s="20"/>
      <c r="B8" s="2"/>
      <c r="C8" s="2"/>
      <c r="D8" s="2"/>
      <c r="E8" s="2"/>
      <c r="F8" s="16" t="s">
        <v>18</v>
      </c>
      <c r="G8" s="326">
        <v>43945</v>
      </c>
      <c r="H8" s="327"/>
      <c r="I8" s="2"/>
      <c r="J8" s="28"/>
      <c r="K8" s="28"/>
      <c r="L8" s="28"/>
      <c r="M8" s="28"/>
      <c r="N8" s="33"/>
    </row>
    <row r="9" spans="1:14" ht="12.75">
      <c r="A9" s="21" t="s">
        <v>2</v>
      </c>
      <c r="B9" s="22"/>
      <c r="C9" s="4"/>
      <c r="D9" s="4"/>
      <c r="E9" s="3"/>
      <c r="F9" s="3"/>
      <c r="G9" s="319"/>
      <c r="H9" s="319"/>
      <c r="I9" s="3"/>
      <c r="J9" s="319"/>
      <c r="K9" s="319"/>
      <c r="L9" s="3"/>
      <c r="M9" s="319"/>
      <c r="N9" s="320"/>
    </row>
    <row r="10" spans="1:15" ht="12.75">
      <c r="A10" s="20"/>
      <c r="B10" s="22" t="s">
        <v>56</v>
      </c>
      <c r="C10" s="4"/>
      <c r="D10" s="4"/>
      <c r="E10" s="3"/>
      <c r="F10" s="29"/>
      <c r="G10" s="58"/>
      <c r="H10" s="58"/>
      <c r="I10" s="5"/>
      <c r="J10" s="58"/>
      <c r="K10" s="58"/>
      <c r="L10" s="5"/>
      <c r="M10" s="58"/>
      <c r="N10" s="59"/>
      <c r="O10" s="11"/>
    </row>
    <row r="11" spans="1:16" ht="11.25">
      <c r="A11" s="20"/>
      <c r="B11" s="22"/>
      <c r="C11" s="6"/>
      <c r="D11" s="6"/>
      <c r="E11" s="7"/>
      <c r="F11" s="30" t="s">
        <v>7</v>
      </c>
      <c r="G11" s="313">
        <v>1091</v>
      </c>
      <c r="H11" s="314"/>
      <c r="I11" s="5"/>
      <c r="J11" s="313">
        <v>890</v>
      </c>
      <c r="K11" s="314"/>
      <c r="L11" s="5"/>
      <c r="M11" s="313">
        <v>1007</v>
      </c>
      <c r="N11" s="315"/>
      <c r="P11" s="10" t="s">
        <v>28</v>
      </c>
    </row>
    <row r="12" spans="1:16" ht="12.75">
      <c r="A12" s="20"/>
      <c r="B12" s="22"/>
      <c r="C12" s="4"/>
      <c r="D12" s="4"/>
      <c r="E12" s="3"/>
      <c r="F12" s="29" t="s">
        <v>5</v>
      </c>
      <c r="G12" s="316">
        <v>0.041</v>
      </c>
      <c r="H12" s="317"/>
      <c r="I12" s="5"/>
      <c r="J12" s="316">
        <v>-0.076</v>
      </c>
      <c r="K12" s="317"/>
      <c r="L12" s="5"/>
      <c r="M12" s="316">
        <v>0.006</v>
      </c>
      <c r="N12" s="318"/>
      <c r="O12" s="11"/>
      <c r="P12" s="10" t="s">
        <v>29</v>
      </c>
    </row>
    <row r="13" spans="1:16" ht="12.75">
      <c r="A13" s="20"/>
      <c r="B13" s="22"/>
      <c r="C13" s="4"/>
      <c r="D13" s="4"/>
      <c r="E13" s="3"/>
      <c r="F13" s="29" t="s">
        <v>53</v>
      </c>
      <c r="G13" s="313"/>
      <c r="H13" s="314"/>
      <c r="I13" s="5"/>
      <c r="J13" s="313"/>
      <c r="K13" s="314"/>
      <c r="L13" s="5"/>
      <c r="M13" s="313"/>
      <c r="N13" s="315"/>
      <c r="O13" s="11"/>
      <c r="P13" s="10" t="s">
        <v>71</v>
      </c>
    </row>
    <row r="14" spans="1:16" ht="12.75">
      <c r="A14" s="20"/>
      <c r="B14" s="22"/>
      <c r="C14" s="4"/>
      <c r="D14" s="4"/>
      <c r="E14" s="3"/>
      <c r="F14" s="29" t="s">
        <v>54</v>
      </c>
      <c r="G14" s="313"/>
      <c r="H14" s="314"/>
      <c r="I14" s="5"/>
      <c r="J14" s="313"/>
      <c r="K14" s="314"/>
      <c r="L14" s="5"/>
      <c r="M14" s="313"/>
      <c r="N14" s="315"/>
      <c r="O14" s="11"/>
      <c r="P14" s="10" t="s">
        <v>70</v>
      </c>
    </row>
    <row r="15" spans="1:16" ht="12.75">
      <c r="A15" s="20"/>
      <c r="B15" s="22"/>
      <c r="C15" s="4"/>
      <c r="D15" s="4"/>
      <c r="E15" s="3"/>
      <c r="F15" s="29" t="s">
        <v>55</v>
      </c>
      <c r="G15" s="313"/>
      <c r="H15" s="314"/>
      <c r="I15" s="5"/>
      <c r="J15" s="313"/>
      <c r="K15" s="314"/>
      <c r="L15" s="5"/>
      <c r="M15" s="313"/>
      <c r="N15" s="315"/>
      <c r="O15" s="11"/>
      <c r="P15" s="10" t="s">
        <v>69</v>
      </c>
    </row>
    <row r="16" spans="1:16" ht="12.75">
      <c r="A16" s="20"/>
      <c r="B16" s="22"/>
      <c r="C16" s="4"/>
      <c r="D16" s="4"/>
      <c r="E16" s="3"/>
      <c r="F16" s="29" t="s">
        <v>78</v>
      </c>
      <c r="G16" s="313"/>
      <c r="H16" s="314"/>
      <c r="I16" s="5"/>
      <c r="J16" s="313"/>
      <c r="K16" s="314"/>
      <c r="L16" s="5"/>
      <c r="M16" s="313"/>
      <c r="N16" s="315"/>
      <c r="O16" s="11"/>
      <c r="P16" s="10" t="s">
        <v>86</v>
      </c>
    </row>
    <row r="17" spans="1:15" ht="12.75">
      <c r="A17" s="20"/>
      <c r="B17" s="22" t="s">
        <v>57</v>
      </c>
      <c r="C17" s="4"/>
      <c r="D17" s="4"/>
      <c r="E17" s="3"/>
      <c r="F17" s="29"/>
      <c r="G17" s="58"/>
      <c r="H17" s="58"/>
      <c r="I17" s="5"/>
      <c r="J17" s="58"/>
      <c r="K17" s="58"/>
      <c r="L17" s="5"/>
      <c r="M17" s="58"/>
      <c r="N17" s="59"/>
      <c r="O17" s="11"/>
    </row>
    <row r="18" spans="1:16" ht="11.25">
      <c r="A18" s="20"/>
      <c r="B18" s="22"/>
      <c r="C18" s="6"/>
      <c r="D18" s="6"/>
      <c r="E18" s="7"/>
      <c r="F18" s="30" t="s">
        <v>7</v>
      </c>
      <c r="G18" s="313">
        <v>997</v>
      </c>
      <c r="H18" s="314"/>
      <c r="I18" s="5"/>
      <c r="J18" s="313">
        <v>950</v>
      </c>
      <c r="K18" s="314"/>
      <c r="L18" s="5"/>
      <c r="M18" s="313">
        <v>865</v>
      </c>
      <c r="N18" s="315"/>
      <c r="P18" s="10" t="s">
        <v>28</v>
      </c>
    </row>
    <row r="19" spans="1:16" ht="12.75">
      <c r="A19" s="20"/>
      <c r="B19" s="22"/>
      <c r="C19" s="4"/>
      <c r="D19" s="4"/>
      <c r="E19" s="3"/>
      <c r="F19" s="29" t="s">
        <v>5</v>
      </c>
      <c r="G19" s="316">
        <v>0.074</v>
      </c>
      <c r="H19" s="317"/>
      <c r="I19" s="5"/>
      <c r="J19" s="316">
        <v>-0.081</v>
      </c>
      <c r="K19" s="317"/>
      <c r="L19" s="5"/>
      <c r="M19" s="316">
        <v>-0.068</v>
      </c>
      <c r="N19" s="318"/>
      <c r="O19" s="11"/>
      <c r="P19" s="10" t="s">
        <v>29</v>
      </c>
    </row>
    <row r="20" spans="1:16" ht="12.75">
      <c r="A20" s="20"/>
      <c r="B20" s="22"/>
      <c r="C20" s="4"/>
      <c r="D20" s="4"/>
      <c r="E20" s="3"/>
      <c r="F20" s="29" t="s">
        <v>58</v>
      </c>
      <c r="G20" s="313">
        <v>1</v>
      </c>
      <c r="H20" s="314"/>
      <c r="I20" s="5"/>
      <c r="J20" s="313">
        <v>1</v>
      </c>
      <c r="K20" s="314"/>
      <c r="L20" s="5"/>
      <c r="M20" s="313">
        <v>1</v>
      </c>
      <c r="N20" s="315"/>
      <c r="O20" s="11"/>
      <c r="P20" s="10" t="s">
        <v>71</v>
      </c>
    </row>
    <row r="21" spans="1:16" ht="12.75">
      <c r="A21" s="20"/>
      <c r="B21" s="22"/>
      <c r="C21" s="4"/>
      <c r="D21" s="4"/>
      <c r="E21" s="3"/>
      <c r="F21" s="29" t="s">
        <v>59</v>
      </c>
      <c r="G21" s="313">
        <v>42</v>
      </c>
      <c r="H21" s="314"/>
      <c r="I21" s="5"/>
      <c r="J21" s="313">
        <v>43</v>
      </c>
      <c r="K21" s="314"/>
      <c r="L21" s="5"/>
      <c r="M21" s="313">
        <v>41</v>
      </c>
      <c r="N21" s="315"/>
      <c r="O21" s="11"/>
      <c r="P21" s="10" t="s">
        <v>83</v>
      </c>
    </row>
    <row r="22" spans="1:16" ht="12.75">
      <c r="A22" s="20"/>
      <c r="B22" s="22"/>
      <c r="C22" s="4"/>
      <c r="D22" s="4"/>
      <c r="E22" s="3"/>
      <c r="F22" s="29" t="s">
        <v>78</v>
      </c>
      <c r="G22" s="313">
        <v>21</v>
      </c>
      <c r="H22" s="314"/>
      <c r="I22" s="5"/>
      <c r="J22" s="313">
        <v>12</v>
      </c>
      <c r="K22" s="314"/>
      <c r="L22" s="5"/>
      <c r="M22" s="313">
        <v>22</v>
      </c>
      <c r="N22" s="315"/>
      <c r="O22" s="11"/>
      <c r="P22" s="10" t="s">
        <v>86</v>
      </c>
    </row>
    <row r="23" spans="1:14" ht="11.25">
      <c r="A23" s="20"/>
      <c r="B23" s="4" t="s">
        <v>6</v>
      </c>
      <c r="C23" s="4"/>
      <c r="D23" s="4"/>
      <c r="E23" s="3"/>
      <c r="F23" s="3"/>
      <c r="G23" s="23"/>
      <c r="H23" s="23"/>
      <c r="I23" s="5"/>
      <c r="J23" s="23"/>
      <c r="K23" s="23"/>
      <c r="L23" s="5"/>
      <c r="M23" s="23"/>
      <c r="N23" s="24"/>
    </row>
    <row r="24" spans="1:16" ht="11.25">
      <c r="A24" s="20"/>
      <c r="B24" s="22"/>
      <c r="C24" s="4"/>
      <c r="D24" s="4"/>
      <c r="E24" s="3"/>
      <c r="F24" s="29" t="s">
        <v>20</v>
      </c>
      <c r="G24" s="293">
        <v>0.854</v>
      </c>
      <c r="H24" s="294"/>
      <c r="I24" s="3"/>
      <c r="J24" s="293">
        <v>0.855</v>
      </c>
      <c r="K24" s="294"/>
      <c r="L24" s="3"/>
      <c r="M24" s="293">
        <v>0.869</v>
      </c>
      <c r="N24" s="295"/>
      <c r="P24" s="10" t="s">
        <v>30</v>
      </c>
    </row>
    <row r="25" spans="1:16" ht="11.25">
      <c r="A25" s="20"/>
      <c r="B25" s="22"/>
      <c r="C25" s="4"/>
      <c r="D25" s="4"/>
      <c r="E25" s="3"/>
      <c r="F25" s="29" t="s">
        <v>21</v>
      </c>
      <c r="G25" s="293">
        <v>0.146</v>
      </c>
      <c r="H25" s="294"/>
      <c r="I25" s="3"/>
      <c r="J25" s="293">
        <v>0.145</v>
      </c>
      <c r="K25" s="294"/>
      <c r="L25" s="3"/>
      <c r="M25" s="293">
        <v>0.131</v>
      </c>
      <c r="N25" s="295"/>
      <c r="P25" s="10" t="s">
        <v>31</v>
      </c>
    </row>
    <row r="26" spans="1:14" ht="11.25">
      <c r="A26" s="62" t="s">
        <v>60</v>
      </c>
      <c r="B26" s="22"/>
      <c r="C26" s="4"/>
      <c r="D26" s="4"/>
      <c r="E26" s="3"/>
      <c r="F26" s="29"/>
      <c r="G26" s="60"/>
      <c r="H26" s="60"/>
      <c r="I26" s="5"/>
      <c r="J26" s="60"/>
      <c r="K26" s="60"/>
      <c r="L26" s="5"/>
      <c r="M26" s="60"/>
      <c r="N26" s="61"/>
    </row>
    <row r="27" spans="1:16" ht="11.25">
      <c r="A27" s="20"/>
      <c r="B27" s="22"/>
      <c r="C27" s="4"/>
      <c r="D27" s="4"/>
      <c r="E27" s="3"/>
      <c r="F27" s="29" t="s">
        <v>61</v>
      </c>
      <c r="G27" s="313">
        <f>537447.5+15233.25+34608.16</f>
        <v>587288.91</v>
      </c>
      <c r="H27" s="314"/>
      <c r="I27" s="5"/>
      <c r="J27" s="313">
        <f>514976.58+10988+35608.16+1125</f>
        <v>562697.7400000001</v>
      </c>
      <c r="K27" s="314"/>
      <c r="L27" s="5"/>
      <c r="M27" s="313">
        <f>549254.28+11972+17304.08</f>
        <v>578530.36</v>
      </c>
      <c r="N27" s="315"/>
      <c r="P27" s="10" t="s">
        <v>91</v>
      </c>
    </row>
    <row r="28" spans="1:16" ht="11.25">
      <c r="A28" s="20"/>
      <c r="B28" s="22"/>
      <c r="C28" s="4"/>
      <c r="D28" s="4"/>
      <c r="E28" s="3"/>
      <c r="F28" s="29" t="s">
        <v>62</v>
      </c>
      <c r="G28" s="313">
        <f>36749.13+1640</f>
        <v>38389.13</v>
      </c>
      <c r="H28" s="314"/>
      <c r="I28" s="5"/>
      <c r="J28" s="313">
        <f>36601.41+3190</f>
        <v>39791.41</v>
      </c>
      <c r="K28" s="314"/>
      <c r="L28" s="5"/>
      <c r="M28" s="313">
        <f>36439.79+100</f>
        <v>36539.79</v>
      </c>
      <c r="N28" s="315"/>
      <c r="P28" s="10" t="s">
        <v>91</v>
      </c>
    </row>
    <row r="29" spans="1:16" ht="11.25">
      <c r="A29" s="20"/>
      <c r="B29" s="22"/>
      <c r="C29" s="4"/>
      <c r="D29" s="4"/>
      <c r="E29" s="3"/>
      <c r="F29" s="29" t="s">
        <v>63</v>
      </c>
      <c r="G29" s="310">
        <v>195094.84</v>
      </c>
      <c r="H29" s="311"/>
      <c r="I29" s="5"/>
      <c r="J29" s="310">
        <v>193217.93</v>
      </c>
      <c r="K29" s="311"/>
      <c r="L29" s="5"/>
      <c r="M29" s="310">
        <v>194436.56</v>
      </c>
      <c r="N29" s="312"/>
      <c r="P29" s="10" t="s">
        <v>90</v>
      </c>
    </row>
    <row r="30" spans="1:14" ht="11.25">
      <c r="A30" s="20"/>
      <c r="B30" s="22"/>
      <c r="C30" s="4"/>
      <c r="D30" s="4"/>
      <c r="E30" s="3"/>
      <c r="F30" s="29"/>
      <c r="G30" s="73"/>
      <c r="H30" s="74"/>
      <c r="I30" s="5"/>
      <c r="J30" s="73"/>
      <c r="K30" s="74"/>
      <c r="L30" s="5"/>
      <c r="M30" s="73"/>
      <c r="N30" s="75"/>
    </row>
    <row r="31" spans="1:18" ht="11.25">
      <c r="A31" s="20"/>
      <c r="B31" s="4"/>
      <c r="C31" s="4"/>
      <c r="D31" s="4"/>
      <c r="E31" s="3"/>
      <c r="F31" s="63" t="s">
        <v>64</v>
      </c>
      <c r="G31" s="299">
        <f>SUM(G27:H29)/(G11+G18)</f>
        <v>393.09045977011493</v>
      </c>
      <c r="H31" s="300"/>
      <c r="I31" s="22"/>
      <c r="J31" s="299">
        <f>SUM(J27:K29)/(J11+J18)</f>
        <v>432.44950000000006</v>
      </c>
      <c r="K31" s="300"/>
      <c r="L31" s="22"/>
      <c r="M31" s="299">
        <f>SUM(M27:N29)/(M11+M18)</f>
        <v>432.42879807692304</v>
      </c>
      <c r="N31" s="301"/>
      <c r="O31"/>
      <c r="P31" t="s">
        <v>32</v>
      </c>
      <c r="Q31"/>
      <c r="R31"/>
    </row>
    <row r="32" spans="1:14" ht="11.25">
      <c r="A32" s="21" t="s">
        <v>3</v>
      </c>
      <c r="B32" s="22"/>
      <c r="C32" s="4"/>
      <c r="D32" s="4"/>
      <c r="E32" s="3"/>
      <c r="F32" s="3"/>
      <c r="G32" s="8"/>
      <c r="H32" s="8"/>
      <c r="I32" s="3"/>
      <c r="J32" s="8"/>
      <c r="K32" s="8"/>
      <c r="L32" s="3"/>
      <c r="M32" s="8"/>
      <c r="N32" s="25"/>
    </row>
    <row r="33" spans="1:22" ht="11.25">
      <c r="A33" s="20"/>
      <c r="B33" s="22"/>
      <c r="C33" s="4"/>
      <c r="D33" s="48"/>
      <c r="E33" s="49"/>
      <c r="F33" s="50" t="s">
        <v>43</v>
      </c>
      <c r="G33" s="302">
        <v>2.5</v>
      </c>
      <c r="H33" s="303"/>
      <c r="I33" s="56"/>
      <c r="J33" s="302">
        <v>2.4</v>
      </c>
      <c r="K33" s="303"/>
      <c r="L33" s="56"/>
      <c r="M33" s="302">
        <v>2.4</v>
      </c>
      <c r="N33" s="303"/>
      <c r="O33"/>
      <c r="P33" s="46" t="s">
        <v>47</v>
      </c>
      <c r="Q33" s="47"/>
      <c r="R33" s="47"/>
      <c r="S33" s="46"/>
      <c r="T33" s="46"/>
      <c r="U33" s="46"/>
      <c r="V33" s="46"/>
    </row>
    <row r="34" spans="1:22" ht="11.25">
      <c r="A34" s="20"/>
      <c r="B34" s="22"/>
      <c r="C34" s="4"/>
      <c r="D34" s="48"/>
      <c r="E34" s="49"/>
      <c r="F34" s="50" t="s">
        <v>44</v>
      </c>
      <c r="G34" s="302">
        <f>0.5/36*45</f>
        <v>0.625</v>
      </c>
      <c r="H34" s="303"/>
      <c r="I34" s="56"/>
      <c r="J34" s="302">
        <f>0.6/36*45</f>
        <v>0.75</v>
      </c>
      <c r="K34" s="303"/>
      <c r="L34" s="56"/>
      <c r="M34" s="302">
        <f>0.6/36*45</f>
        <v>0.75</v>
      </c>
      <c r="N34" s="303"/>
      <c r="O34"/>
      <c r="P34" s="46" t="s">
        <v>48</v>
      </c>
      <c r="Q34" s="47"/>
      <c r="R34" s="47"/>
      <c r="S34" s="46"/>
      <c r="T34" s="46"/>
      <c r="U34" s="46"/>
      <c r="V34" s="46"/>
    </row>
    <row r="35" spans="1:22" ht="11.25">
      <c r="A35" s="20"/>
      <c r="B35" s="22"/>
      <c r="C35" s="4"/>
      <c r="D35" s="48"/>
      <c r="E35" s="49"/>
      <c r="F35" s="50" t="s">
        <v>45</v>
      </c>
      <c r="G35" s="307">
        <f>0.6/36*45</f>
        <v>0.75</v>
      </c>
      <c r="H35" s="308"/>
      <c r="I35" s="56"/>
      <c r="J35" s="307">
        <f>0.4/36*45</f>
        <v>0.5</v>
      </c>
      <c r="K35" s="308"/>
      <c r="L35" s="56"/>
      <c r="M35" s="307">
        <f>0.3/36*45</f>
        <v>0.375</v>
      </c>
      <c r="N35" s="308"/>
      <c r="O35"/>
      <c r="P35" s="46" t="s">
        <v>50</v>
      </c>
      <c r="Q35" s="47"/>
      <c r="R35" s="47"/>
      <c r="S35" s="46"/>
      <c r="T35" s="46"/>
      <c r="U35" s="46"/>
      <c r="V35" s="46"/>
    </row>
    <row r="36" spans="1:22" ht="11.25">
      <c r="A36" s="20"/>
      <c r="B36" s="22"/>
      <c r="C36" s="4"/>
      <c r="D36" s="48"/>
      <c r="E36" s="49"/>
      <c r="F36" s="50" t="s">
        <v>46</v>
      </c>
      <c r="G36" s="305">
        <f>0.3/36*45</f>
        <v>0.375</v>
      </c>
      <c r="H36" s="305"/>
      <c r="I36" s="56"/>
      <c r="J36" s="305">
        <f>0.4/36*45</f>
        <v>0.5</v>
      </c>
      <c r="K36" s="305"/>
      <c r="L36" s="56"/>
      <c r="M36" s="305">
        <f>0.6/36*45</f>
        <v>0.75</v>
      </c>
      <c r="N36" s="306"/>
      <c r="O36"/>
      <c r="P36" s="46" t="s">
        <v>49</v>
      </c>
      <c r="Q36" s="47"/>
      <c r="R36" s="47"/>
      <c r="S36" s="46"/>
      <c r="T36" s="46"/>
      <c r="U36" s="46"/>
      <c r="V36" s="46"/>
    </row>
    <row r="37" spans="1:18" s="69" customFormat="1" ht="11.25">
      <c r="A37" s="64"/>
      <c r="B37" s="65"/>
      <c r="C37" s="66"/>
      <c r="D37" s="66"/>
      <c r="E37" s="5"/>
      <c r="F37" s="67"/>
      <c r="G37" s="70"/>
      <c r="H37" s="70"/>
      <c r="I37" s="68"/>
      <c r="J37" s="70"/>
      <c r="K37" s="70"/>
      <c r="L37" s="68"/>
      <c r="M37" s="70"/>
      <c r="N37" s="71"/>
      <c r="O37" s="12"/>
      <c r="Q37" s="12"/>
      <c r="R37" s="12"/>
    </row>
    <row r="38" spans="1:22" ht="11.25">
      <c r="A38" s="20"/>
      <c r="B38" s="22"/>
      <c r="C38" s="4"/>
      <c r="D38" s="48"/>
      <c r="E38" s="49"/>
      <c r="F38" s="50" t="s">
        <v>66</v>
      </c>
      <c r="G38" s="305">
        <v>1242</v>
      </c>
      <c r="H38" s="305"/>
      <c r="I38" s="56"/>
      <c r="J38" s="305">
        <v>1069</v>
      </c>
      <c r="K38" s="305"/>
      <c r="L38" s="56"/>
      <c r="M38" s="305">
        <v>1016</v>
      </c>
      <c r="N38" s="306"/>
      <c r="O38"/>
      <c r="P38" s="46" t="s">
        <v>72</v>
      </c>
      <c r="Q38" s="47"/>
      <c r="R38" s="47"/>
      <c r="S38" s="46"/>
      <c r="T38" s="46"/>
      <c r="U38" s="46"/>
      <c r="V38" s="46"/>
    </row>
    <row r="39" spans="1:22" ht="11.25">
      <c r="A39" s="20"/>
      <c r="B39" s="22"/>
      <c r="C39" s="4"/>
      <c r="D39" s="48"/>
      <c r="E39" s="49"/>
      <c r="F39" s="50" t="s">
        <v>65</v>
      </c>
      <c r="G39" s="299">
        <v>304</v>
      </c>
      <c r="H39" s="300"/>
      <c r="I39" s="56"/>
      <c r="J39" s="299">
        <v>366</v>
      </c>
      <c r="K39" s="300"/>
      <c r="L39" s="56"/>
      <c r="M39" s="299">
        <v>370</v>
      </c>
      <c r="N39" s="301"/>
      <c r="O39"/>
      <c r="P39" s="46" t="s">
        <v>73</v>
      </c>
      <c r="Q39" s="47"/>
      <c r="R39" s="47"/>
      <c r="S39" s="46"/>
      <c r="T39" s="46"/>
      <c r="U39" s="46"/>
      <c r="V39" s="46"/>
    </row>
    <row r="40" spans="1:22" ht="11.25">
      <c r="A40" s="20"/>
      <c r="B40" s="22"/>
      <c r="C40" s="4"/>
      <c r="D40" s="48"/>
      <c r="E40" s="49"/>
      <c r="F40" s="50" t="s">
        <v>67</v>
      </c>
      <c r="G40" s="302">
        <v>386</v>
      </c>
      <c r="H40" s="303"/>
      <c r="I40" s="56"/>
      <c r="J40" s="302">
        <v>169</v>
      </c>
      <c r="K40" s="303"/>
      <c r="L40" s="56"/>
      <c r="M40" s="302">
        <v>160</v>
      </c>
      <c r="N40" s="304"/>
      <c r="O40"/>
      <c r="P40" s="46" t="s">
        <v>75</v>
      </c>
      <c r="Q40" s="47"/>
      <c r="R40" s="47"/>
      <c r="S40" s="46"/>
      <c r="T40" s="46"/>
      <c r="U40" s="46"/>
      <c r="V40" s="46"/>
    </row>
    <row r="41" spans="1:22" ht="11.25">
      <c r="A41" s="20"/>
      <c r="B41" s="22"/>
      <c r="C41" s="4"/>
      <c r="D41" s="48"/>
      <c r="E41" s="49"/>
      <c r="F41" s="50" t="s">
        <v>68</v>
      </c>
      <c r="G41" s="302">
        <v>150</v>
      </c>
      <c r="H41" s="303"/>
      <c r="I41" s="56"/>
      <c r="J41" s="302">
        <v>235</v>
      </c>
      <c r="K41" s="303"/>
      <c r="L41" s="56"/>
      <c r="M41" s="302">
        <v>320</v>
      </c>
      <c r="N41" s="304"/>
      <c r="O41"/>
      <c r="P41" s="46" t="s">
        <v>74</v>
      </c>
      <c r="Q41" s="47"/>
      <c r="R41" s="47"/>
      <c r="S41" s="46"/>
      <c r="T41" s="46"/>
      <c r="U41" s="46"/>
      <c r="V41" s="46"/>
    </row>
    <row r="42" spans="1:18" ht="11.25">
      <c r="A42" s="20"/>
      <c r="B42" s="4"/>
      <c r="C42" s="4"/>
      <c r="D42" s="4"/>
      <c r="E42" s="3"/>
      <c r="F42" s="3"/>
      <c r="G42" s="9"/>
      <c r="H42" s="9"/>
      <c r="I42" s="22"/>
      <c r="J42" s="9"/>
      <c r="K42" s="9"/>
      <c r="L42" s="22"/>
      <c r="M42" s="9"/>
      <c r="N42" s="26"/>
      <c r="O42"/>
      <c r="P42"/>
      <c r="Q42"/>
      <c r="R42"/>
    </row>
    <row r="43" spans="1:18" ht="11.25">
      <c r="A43" s="20"/>
      <c r="B43" s="22"/>
      <c r="C43" s="4"/>
      <c r="D43" s="4"/>
      <c r="E43" s="3"/>
      <c r="F43" s="29" t="s">
        <v>22</v>
      </c>
      <c r="G43" s="302">
        <f>(G11+G18)/(G33+G34)</f>
        <v>668.16</v>
      </c>
      <c r="H43" s="303"/>
      <c r="I43" s="22"/>
      <c r="J43" s="302">
        <f>(J11+J18)/(J33+J34)</f>
        <v>584.1269841269841</v>
      </c>
      <c r="K43" s="303"/>
      <c r="L43" s="22"/>
      <c r="M43" s="302">
        <f>(M11+M18)/(M33+M34)</f>
        <v>594.2857142857143</v>
      </c>
      <c r="N43" s="304"/>
      <c r="O43"/>
      <c r="P43" t="s">
        <v>32</v>
      </c>
      <c r="Q43"/>
      <c r="R43"/>
    </row>
    <row r="44" spans="1:17" ht="11.25">
      <c r="A44" s="20"/>
      <c r="B44" s="4"/>
      <c r="C44" s="4"/>
      <c r="D44" s="4"/>
      <c r="E44" s="3"/>
      <c r="F44" s="3"/>
      <c r="G44" s="34" t="s">
        <v>24</v>
      </c>
      <c r="H44" s="34" t="s">
        <v>23</v>
      </c>
      <c r="I44" s="28"/>
      <c r="J44" s="34" t="s">
        <v>24</v>
      </c>
      <c r="K44" s="34" t="s">
        <v>23</v>
      </c>
      <c r="L44" s="28"/>
      <c r="M44" s="34" t="s">
        <v>24</v>
      </c>
      <c r="N44" s="35" t="s">
        <v>23</v>
      </c>
      <c r="O44" s="14"/>
      <c r="P44" s="13"/>
      <c r="Q44" s="31"/>
    </row>
    <row r="45" spans="1:22" ht="11.25">
      <c r="A45" s="20"/>
      <c r="B45" s="4"/>
      <c r="C45" s="4"/>
      <c r="D45" s="52"/>
      <c r="E45" s="53"/>
      <c r="F45" s="54" t="s">
        <v>25</v>
      </c>
      <c r="G45" s="113">
        <v>6</v>
      </c>
      <c r="H45" s="32">
        <f>G45/SUM($G$45:$G$48)</f>
        <v>0.75</v>
      </c>
      <c r="I45" s="28"/>
      <c r="J45" s="113">
        <v>6</v>
      </c>
      <c r="K45" s="32">
        <f>J45/SUM($J$45:$J$48)</f>
        <v>0.8</v>
      </c>
      <c r="L45" s="28"/>
      <c r="M45" s="113">
        <v>6</v>
      </c>
      <c r="N45" s="36">
        <f>M45/SUM($M$45:$M$48)</f>
        <v>0.8</v>
      </c>
      <c r="O45" s="14"/>
      <c r="P45" s="55" t="s">
        <v>84</v>
      </c>
      <c r="Q45" s="51"/>
      <c r="R45" s="55"/>
      <c r="S45" s="55"/>
      <c r="T45" s="55"/>
      <c r="U45" s="55"/>
      <c r="V45" s="55"/>
    </row>
    <row r="46" spans="1:22" ht="11.25">
      <c r="A46" s="20"/>
      <c r="B46" s="4"/>
      <c r="C46" s="4"/>
      <c r="D46" s="52"/>
      <c r="E46" s="53"/>
      <c r="F46" s="54" t="s">
        <v>13</v>
      </c>
      <c r="G46" s="113">
        <v>1</v>
      </c>
      <c r="H46" s="32">
        <f aca="true" t="shared" si="0" ref="H46:H48">G46/SUM($G$45:$G$48)</f>
        <v>0.125</v>
      </c>
      <c r="I46" s="28"/>
      <c r="J46" s="113">
        <v>1</v>
      </c>
      <c r="K46" s="32">
        <f aca="true" t="shared" si="1" ref="K46:K48">J46/SUM($J$45:$J$48)</f>
        <v>0.13333333333333333</v>
      </c>
      <c r="L46" s="28"/>
      <c r="M46" s="113">
        <v>1</v>
      </c>
      <c r="N46" s="36">
        <f aca="true" t="shared" si="2" ref="N46:N48">M46/SUM($M$45:$M$48)</f>
        <v>0.13333333333333333</v>
      </c>
      <c r="O46" s="14"/>
      <c r="P46" s="55" t="s">
        <v>84</v>
      </c>
      <c r="Q46" s="51"/>
      <c r="R46" s="55"/>
      <c r="S46" s="55"/>
      <c r="T46" s="55"/>
      <c r="U46" s="55"/>
      <c r="V46" s="55"/>
    </row>
    <row r="47" spans="1:22" ht="11.25">
      <c r="A47" s="20"/>
      <c r="B47" s="4"/>
      <c r="C47" s="4"/>
      <c r="D47" s="52"/>
      <c r="E47" s="53"/>
      <c r="F47" s="54" t="s">
        <v>51</v>
      </c>
      <c r="G47" s="113">
        <v>1</v>
      </c>
      <c r="H47" s="32">
        <f t="shared" si="0"/>
        <v>0.125</v>
      </c>
      <c r="I47" s="28"/>
      <c r="J47" s="113"/>
      <c r="K47" s="32">
        <f t="shared" si="1"/>
        <v>0</v>
      </c>
      <c r="L47" s="28"/>
      <c r="M47" s="113"/>
      <c r="N47" s="36">
        <f t="shared" si="2"/>
        <v>0</v>
      </c>
      <c r="O47" s="14"/>
      <c r="P47" s="55" t="s">
        <v>85</v>
      </c>
      <c r="Q47" s="51"/>
      <c r="R47" s="55"/>
      <c r="S47" s="55"/>
      <c r="T47" s="55"/>
      <c r="U47" s="55"/>
      <c r="V47" s="55"/>
    </row>
    <row r="48" spans="1:22" ht="11.25">
      <c r="A48" s="20"/>
      <c r="B48" s="4"/>
      <c r="C48" s="4"/>
      <c r="D48" s="52"/>
      <c r="E48" s="53"/>
      <c r="F48" s="54" t="s">
        <v>52</v>
      </c>
      <c r="G48" s="113"/>
      <c r="H48" s="32">
        <f t="shared" si="0"/>
        <v>0</v>
      </c>
      <c r="I48" s="28"/>
      <c r="J48" s="113">
        <v>0.5</v>
      </c>
      <c r="K48" s="32">
        <f t="shared" si="1"/>
        <v>0.06666666666666667</v>
      </c>
      <c r="L48" s="28"/>
      <c r="M48" s="113">
        <v>0.5</v>
      </c>
      <c r="N48" s="36">
        <f t="shared" si="2"/>
        <v>0.06666666666666667</v>
      </c>
      <c r="O48" s="14"/>
      <c r="P48" s="55" t="s">
        <v>85</v>
      </c>
      <c r="Q48" s="51"/>
      <c r="R48" s="55"/>
      <c r="S48" s="55"/>
      <c r="T48" s="55"/>
      <c r="U48" s="55"/>
      <c r="V48" s="55"/>
    </row>
    <row r="49" spans="1:14" ht="11.25">
      <c r="A49" s="21" t="s">
        <v>4</v>
      </c>
      <c r="B49" s="22"/>
      <c r="C49" s="4"/>
      <c r="D49" s="4"/>
      <c r="E49" s="3"/>
      <c r="F49" s="3"/>
      <c r="G49" s="8"/>
      <c r="H49" s="8"/>
      <c r="I49" s="3"/>
      <c r="J49" s="8"/>
      <c r="K49" s="8"/>
      <c r="L49" s="3"/>
      <c r="M49" s="8"/>
      <c r="N49" s="25"/>
    </row>
    <row r="50" spans="1:16" ht="11.25">
      <c r="A50" s="21"/>
      <c r="B50" s="22"/>
      <c r="C50" s="4"/>
      <c r="D50" s="4"/>
      <c r="E50" s="3"/>
      <c r="F50" s="63" t="s">
        <v>77</v>
      </c>
      <c r="G50" s="293">
        <v>0.983</v>
      </c>
      <c r="H50" s="294"/>
      <c r="I50" s="72"/>
      <c r="J50" s="293">
        <v>0.954</v>
      </c>
      <c r="K50" s="294"/>
      <c r="L50" s="72"/>
      <c r="M50" s="293">
        <v>0.959</v>
      </c>
      <c r="N50" s="295"/>
      <c r="P50" s="10" t="s">
        <v>87</v>
      </c>
    </row>
    <row r="51" spans="1:16" ht="11.25">
      <c r="A51" s="21"/>
      <c r="B51" s="22"/>
      <c r="C51" s="4"/>
      <c r="D51" s="4"/>
      <c r="E51" s="3"/>
      <c r="F51" s="63" t="s">
        <v>76</v>
      </c>
      <c r="G51" s="293">
        <v>0.072</v>
      </c>
      <c r="H51" s="294"/>
      <c r="I51" s="72"/>
      <c r="J51" s="293">
        <v>0.115</v>
      </c>
      <c r="K51" s="294"/>
      <c r="L51" s="72"/>
      <c r="M51" s="293">
        <v>0.127</v>
      </c>
      <c r="N51" s="295"/>
      <c r="P51" s="10" t="s">
        <v>79</v>
      </c>
    </row>
    <row r="52" spans="1:16" ht="11" customHeight="1">
      <c r="A52" s="20"/>
      <c r="B52" s="23"/>
      <c r="C52" s="4"/>
      <c r="D52" s="4"/>
      <c r="E52" s="3"/>
      <c r="F52" s="29" t="s">
        <v>10</v>
      </c>
      <c r="G52" s="296">
        <v>5</v>
      </c>
      <c r="H52" s="297"/>
      <c r="I52" s="3"/>
      <c r="J52" s="296">
        <v>3</v>
      </c>
      <c r="K52" s="297"/>
      <c r="L52" s="3"/>
      <c r="M52" s="296">
        <v>3</v>
      </c>
      <c r="N52" s="298"/>
      <c r="P52" s="10" t="s">
        <v>34</v>
      </c>
    </row>
    <row r="53" spans="1:16" ht="11.25">
      <c r="A53" s="20"/>
      <c r="B53" s="23"/>
      <c r="C53" s="4"/>
      <c r="D53" s="4"/>
      <c r="E53" s="3"/>
      <c r="F53" s="29" t="s">
        <v>8</v>
      </c>
      <c r="G53" s="296">
        <v>13</v>
      </c>
      <c r="H53" s="297"/>
      <c r="I53" s="14"/>
      <c r="J53" s="296">
        <v>12</v>
      </c>
      <c r="K53" s="297"/>
      <c r="L53" s="14"/>
      <c r="M53" s="296">
        <v>12</v>
      </c>
      <c r="N53" s="298"/>
      <c r="P53" s="10" t="s">
        <v>36</v>
      </c>
    </row>
    <row r="54" spans="1:16" ht="11.25">
      <c r="A54" s="20"/>
      <c r="B54" s="23"/>
      <c r="C54" s="4"/>
      <c r="D54" s="4"/>
      <c r="E54" s="3"/>
      <c r="F54" s="42" t="s">
        <v>11</v>
      </c>
      <c r="G54" s="296">
        <v>18.6</v>
      </c>
      <c r="H54" s="297"/>
      <c r="I54" s="3"/>
      <c r="J54" s="296">
        <v>19.5</v>
      </c>
      <c r="K54" s="297"/>
      <c r="L54" s="3"/>
      <c r="M54" s="296">
        <v>19.4</v>
      </c>
      <c r="N54" s="298"/>
      <c r="P54" s="10" t="s">
        <v>42</v>
      </c>
    </row>
    <row r="55" spans="1:19" ht="11.25">
      <c r="A55" s="20"/>
      <c r="B55" s="22"/>
      <c r="C55" s="4"/>
      <c r="D55" s="4"/>
      <c r="E55" s="3"/>
      <c r="F55" s="29" t="s">
        <v>9</v>
      </c>
      <c r="G55" s="293">
        <v>0.8</v>
      </c>
      <c r="H55" s="294"/>
      <c r="I55" s="3"/>
      <c r="J55" s="293">
        <v>0.73</v>
      </c>
      <c r="K55" s="294"/>
      <c r="L55" s="3"/>
      <c r="M55" s="293">
        <v>0.6</v>
      </c>
      <c r="N55" s="295"/>
      <c r="P55" s="10" t="s">
        <v>37</v>
      </c>
      <c r="Q55"/>
      <c r="R55"/>
      <c r="S55"/>
    </row>
    <row r="56" spans="1:19" ht="11.25">
      <c r="A56" s="20"/>
      <c r="B56" s="22"/>
      <c r="C56" s="4"/>
      <c r="D56" s="4"/>
      <c r="E56" s="27"/>
      <c r="F56" s="29" t="s">
        <v>12</v>
      </c>
      <c r="G56" s="296">
        <v>2</v>
      </c>
      <c r="H56" s="297"/>
      <c r="I56" s="28"/>
      <c r="J56" s="296">
        <v>3</v>
      </c>
      <c r="K56" s="297"/>
      <c r="L56" s="28"/>
      <c r="M56" s="296">
        <v>3</v>
      </c>
      <c r="N56" s="298"/>
      <c r="P56" s="10" t="s">
        <v>38</v>
      </c>
      <c r="Q56"/>
      <c r="R56"/>
      <c r="S56"/>
    </row>
    <row r="57" spans="1:19" ht="11.25">
      <c r="A57" s="20"/>
      <c r="B57" s="22"/>
      <c r="C57" s="4"/>
      <c r="D57" s="4"/>
      <c r="E57" s="3"/>
      <c r="F57" s="29" t="s">
        <v>19</v>
      </c>
      <c r="G57" s="293">
        <v>0.235</v>
      </c>
      <c r="H57" s="294"/>
      <c r="I57" s="28"/>
      <c r="J57" s="293">
        <v>0.242</v>
      </c>
      <c r="K57" s="294"/>
      <c r="L57" s="28"/>
      <c r="M57" s="293">
        <v>0.382</v>
      </c>
      <c r="N57" s="295"/>
      <c r="P57" s="10" t="s">
        <v>39</v>
      </c>
      <c r="Q57"/>
      <c r="R57"/>
      <c r="S57"/>
    </row>
    <row r="58" spans="1:19" ht="11.25">
      <c r="A58" s="20"/>
      <c r="B58" s="22"/>
      <c r="C58" s="4"/>
      <c r="D58" s="4"/>
      <c r="E58" s="3"/>
      <c r="F58" s="29" t="s">
        <v>0</v>
      </c>
      <c r="G58" s="293">
        <v>0</v>
      </c>
      <c r="H58" s="294"/>
      <c r="I58" s="28"/>
      <c r="J58" s="293">
        <v>-0.069</v>
      </c>
      <c r="K58" s="294"/>
      <c r="L58" s="28"/>
      <c r="M58" s="293">
        <v>-0.034</v>
      </c>
      <c r="N58" s="295"/>
      <c r="P58" s="10" t="s">
        <v>40</v>
      </c>
      <c r="Q58"/>
      <c r="R58"/>
      <c r="S58"/>
    </row>
    <row r="59" spans="1:14" ht="11.25">
      <c r="A59" s="21" t="s">
        <v>1</v>
      </c>
      <c r="B59" s="28"/>
      <c r="C59" s="28"/>
      <c r="D59" s="28"/>
      <c r="E59" s="28"/>
      <c r="F59" s="28"/>
      <c r="G59" s="28"/>
      <c r="H59" s="28"/>
      <c r="I59" s="28"/>
      <c r="J59" s="28"/>
      <c r="K59" s="28"/>
      <c r="L59" s="28"/>
      <c r="M59" s="28"/>
      <c r="N59" s="33"/>
    </row>
    <row r="60" spans="1:16" ht="11.25">
      <c r="A60" s="37"/>
      <c r="B60" s="28" t="s">
        <v>115</v>
      </c>
      <c r="C60" s="28"/>
      <c r="D60" s="28"/>
      <c r="E60" s="28"/>
      <c r="F60" s="28"/>
      <c r="G60" s="28"/>
      <c r="H60" s="28"/>
      <c r="I60" s="28"/>
      <c r="J60" s="28"/>
      <c r="K60" s="28"/>
      <c r="L60" s="28"/>
      <c r="M60" s="28"/>
      <c r="N60" s="33"/>
      <c r="P60" t="s">
        <v>35</v>
      </c>
    </row>
    <row r="61" spans="1:14" ht="11.25">
      <c r="A61" s="38"/>
      <c r="B61" s="23"/>
      <c r="C61" s="23"/>
      <c r="D61" s="23"/>
      <c r="E61" s="23"/>
      <c r="F61" s="23"/>
      <c r="G61" s="23"/>
      <c r="H61" s="23"/>
      <c r="I61" s="23"/>
      <c r="J61" s="23"/>
      <c r="K61" s="23"/>
      <c r="L61" s="23"/>
      <c r="M61" s="23"/>
      <c r="N61" s="24"/>
    </row>
    <row r="62" spans="1:14" ht="11.25">
      <c r="A62" s="38"/>
      <c r="B62" s="23"/>
      <c r="C62" s="23"/>
      <c r="D62" s="23"/>
      <c r="E62" s="23"/>
      <c r="F62" s="23"/>
      <c r="G62" s="23"/>
      <c r="H62" s="23"/>
      <c r="I62" s="23"/>
      <c r="J62" s="23"/>
      <c r="K62" s="23"/>
      <c r="L62" s="23"/>
      <c r="M62" s="23"/>
      <c r="N62" s="24"/>
    </row>
    <row r="63" spans="1:16" ht="11.25">
      <c r="A63" s="38"/>
      <c r="B63" s="23"/>
      <c r="C63" s="23"/>
      <c r="D63" s="23"/>
      <c r="E63" s="23"/>
      <c r="F63" s="23"/>
      <c r="G63" s="23"/>
      <c r="H63" s="23"/>
      <c r="I63" s="23"/>
      <c r="J63" s="23"/>
      <c r="K63" s="23"/>
      <c r="L63" s="23"/>
      <c r="M63" s="23"/>
      <c r="N63" s="24"/>
      <c r="P63" s="44" t="s">
        <v>41</v>
      </c>
    </row>
    <row r="64" spans="1:14" ht="11.25">
      <c r="A64" s="38"/>
      <c r="B64" s="23"/>
      <c r="C64" s="23"/>
      <c r="D64" s="23"/>
      <c r="E64" s="23"/>
      <c r="F64" s="23"/>
      <c r="G64" s="23"/>
      <c r="H64" s="23"/>
      <c r="I64" s="23"/>
      <c r="J64" s="23"/>
      <c r="K64" s="23"/>
      <c r="L64" s="23"/>
      <c r="M64" s="23"/>
      <c r="N64" s="24"/>
    </row>
    <row r="65" spans="1:14" ht="12.75" thickBot="1">
      <c r="A65" s="39"/>
      <c r="B65" s="40"/>
      <c r="C65" s="40"/>
      <c r="D65" s="40"/>
      <c r="E65" s="40"/>
      <c r="F65" s="40"/>
      <c r="G65" s="40"/>
      <c r="H65" s="40"/>
      <c r="I65" s="40"/>
      <c r="J65" s="40"/>
      <c r="K65" s="40"/>
      <c r="L65" s="40"/>
      <c r="M65" s="40"/>
      <c r="N65" s="41"/>
    </row>
  </sheetData>
  <mergeCells count="119">
    <mergeCell ref="G5:H5"/>
    <mergeCell ref="G6:H6"/>
    <mergeCell ref="G7:H7"/>
    <mergeCell ref="G8:H8"/>
    <mergeCell ref="G9:H9"/>
    <mergeCell ref="J9:K9"/>
    <mergeCell ref="G2:N2"/>
    <mergeCell ref="G3:H3"/>
    <mergeCell ref="J3:K3"/>
    <mergeCell ref="M3:N3"/>
    <mergeCell ref="G4:H4"/>
    <mergeCell ref="J4:K4"/>
    <mergeCell ref="M4:N4"/>
    <mergeCell ref="G13:H13"/>
    <mergeCell ref="J13:K13"/>
    <mergeCell ref="M13:N13"/>
    <mergeCell ref="G14:H14"/>
    <mergeCell ref="J14:K14"/>
    <mergeCell ref="M14:N14"/>
    <mergeCell ref="M9:N9"/>
    <mergeCell ref="G11:H11"/>
    <mergeCell ref="J11:K11"/>
    <mergeCell ref="M11:N11"/>
    <mergeCell ref="G12:H12"/>
    <mergeCell ref="J12:K12"/>
    <mergeCell ref="M12:N12"/>
    <mergeCell ref="G18:H18"/>
    <mergeCell ref="J18:K18"/>
    <mergeCell ref="M18:N18"/>
    <mergeCell ref="G19:H19"/>
    <mergeCell ref="J19:K19"/>
    <mergeCell ref="M19:N19"/>
    <mergeCell ref="G15:H15"/>
    <mergeCell ref="J15:K15"/>
    <mergeCell ref="M15:N15"/>
    <mergeCell ref="G16:H16"/>
    <mergeCell ref="J16:K16"/>
    <mergeCell ref="M16:N16"/>
    <mergeCell ref="G22:H22"/>
    <mergeCell ref="J22:K22"/>
    <mergeCell ref="M22:N22"/>
    <mergeCell ref="G24:H24"/>
    <mergeCell ref="J24:K24"/>
    <mergeCell ref="M24:N24"/>
    <mergeCell ref="G20:H20"/>
    <mergeCell ref="J20:K20"/>
    <mergeCell ref="M20:N20"/>
    <mergeCell ref="G21:H21"/>
    <mergeCell ref="J21:K21"/>
    <mergeCell ref="M21:N21"/>
    <mergeCell ref="G28:H28"/>
    <mergeCell ref="J28:K28"/>
    <mergeCell ref="M28:N28"/>
    <mergeCell ref="G29:H29"/>
    <mergeCell ref="J29:K29"/>
    <mergeCell ref="M29:N29"/>
    <mergeCell ref="G25:H25"/>
    <mergeCell ref="J25:K25"/>
    <mergeCell ref="M25:N25"/>
    <mergeCell ref="G27:H27"/>
    <mergeCell ref="J27:K27"/>
    <mergeCell ref="M27:N27"/>
    <mergeCell ref="G34:H34"/>
    <mergeCell ref="J34:K34"/>
    <mergeCell ref="M34:N34"/>
    <mergeCell ref="G35:H35"/>
    <mergeCell ref="J35:K35"/>
    <mergeCell ref="M35:N35"/>
    <mergeCell ref="G31:H31"/>
    <mergeCell ref="J31:K31"/>
    <mergeCell ref="M31:N31"/>
    <mergeCell ref="G33:H33"/>
    <mergeCell ref="J33:K33"/>
    <mergeCell ref="M33:N33"/>
    <mergeCell ref="G39:H39"/>
    <mergeCell ref="J39:K39"/>
    <mergeCell ref="M39:N39"/>
    <mergeCell ref="G40:H40"/>
    <mergeCell ref="J40:K40"/>
    <mergeCell ref="M40:N40"/>
    <mergeCell ref="G36:H36"/>
    <mergeCell ref="J36:K36"/>
    <mergeCell ref="M36:N36"/>
    <mergeCell ref="G38:H38"/>
    <mergeCell ref="J38:K38"/>
    <mergeCell ref="M38:N38"/>
    <mergeCell ref="G41:H41"/>
    <mergeCell ref="J41:K41"/>
    <mergeCell ref="M41:N41"/>
    <mergeCell ref="G43:H43"/>
    <mergeCell ref="J43:K43"/>
    <mergeCell ref="M43:N43"/>
    <mergeCell ref="G50:H50"/>
    <mergeCell ref="J50:K50"/>
    <mergeCell ref="M50:N50"/>
    <mergeCell ref="G57:H57"/>
    <mergeCell ref="J57:K57"/>
    <mergeCell ref="M57:N57"/>
    <mergeCell ref="G58:H58"/>
    <mergeCell ref="J58:K58"/>
    <mergeCell ref="M58:N58"/>
    <mergeCell ref="G51:H51"/>
    <mergeCell ref="J51:K51"/>
    <mergeCell ref="M51:N51"/>
    <mergeCell ref="G52:H52"/>
    <mergeCell ref="J52:K52"/>
    <mergeCell ref="M52:N52"/>
    <mergeCell ref="G55:H55"/>
    <mergeCell ref="J55:K55"/>
    <mergeCell ref="M55:N55"/>
    <mergeCell ref="G56:H56"/>
    <mergeCell ref="J56:K56"/>
    <mergeCell ref="M56:N56"/>
    <mergeCell ref="G53:H53"/>
    <mergeCell ref="J53:K53"/>
    <mergeCell ref="M53:N53"/>
    <mergeCell ref="G54:H54"/>
    <mergeCell ref="J54:K54"/>
    <mergeCell ref="M54:N54"/>
  </mergeCells>
  <printOptions/>
  <pageMargins left="0.25" right="0.25" top="0.75" bottom="0.75" header="0.3" footer="0.3"/>
  <pageSetup fitToHeight="1" fitToWidth="1" horizontalDpi="1200" verticalDpi="1200" orientation="portrait" scale="94" r:id="rId3"/>
  <colBreaks count="1" manualBreakCount="1">
    <brk id="14" max="16383"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76"/>
  <sheetViews>
    <sheetView workbookViewId="0" topLeftCell="A1">
      <selection activeCell="C12" sqref="C12"/>
    </sheetView>
  </sheetViews>
  <sheetFormatPr defaultColWidth="9.00390625" defaultRowHeight="11.25"/>
  <cols>
    <col min="1" max="1" width="29.00390625" style="0" customWidth="1"/>
    <col min="2" max="2" width="11.125" style="0" bestFit="1" customWidth="1"/>
    <col min="3" max="3" width="17.25390625" style="0" bestFit="1" customWidth="1"/>
    <col min="4" max="4" width="9.875" style="0" bestFit="1" customWidth="1"/>
    <col min="5" max="5" width="7.75390625" style="0" customWidth="1"/>
    <col min="6" max="6" width="14.00390625" style="0" bestFit="1" customWidth="1"/>
    <col min="7" max="8" width="15.125" style="0" bestFit="1" customWidth="1"/>
    <col min="9" max="9" width="4.625" style="0" customWidth="1"/>
    <col min="10" max="10" width="21.00390625" style="0" bestFit="1" customWidth="1"/>
    <col min="11" max="11" width="8.125" style="0" bestFit="1" customWidth="1"/>
    <col min="12" max="12" width="12.25390625" style="0" bestFit="1" customWidth="1"/>
    <col min="13" max="13" width="18.625" style="0" customWidth="1"/>
    <col min="14" max="14" width="8.125" style="0" bestFit="1" customWidth="1"/>
  </cols>
  <sheetData>
    <row r="1" spans="1:3" ht="11.25">
      <c r="A1" t="s">
        <v>562</v>
      </c>
      <c r="C1" s="260" t="s">
        <v>670</v>
      </c>
    </row>
    <row r="2" spans="1:3" ht="11.25">
      <c r="A2" t="s">
        <v>679</v>
      </c>
      <c r="C2" s="261" t="s">
        <v>669</v>
      </c>
    </row>
    <row r="3" spans="3:14" ht="12.75" thickBot="1">
      <c r="C3" t="s">
        <v>671</v>
      </c>
      <c r="J3" s="284" t="s">
        <v>666</v>
      </c>
      <c r="K3" s="284"/>
      <c r="L3" s="256"/>
      <c r="M3" s="256"/>
      <c r="N3" s="256"/>
    </row>
    <row r="4" spans="1:14" ht="11.25">
      <c r="A4" t="s">
        <v>568</v>
      </c>
      <c r="J4" s="185" t="s">
        <v>656</v>
      </c>
      <c r="K4" s="248" t="s">
        <v>657</v>
      </c>
      <c r="M4" s="185" t="s">
        <v>656</v>
      </c>
      <c r="N4" s="248" t="s">
        <v>657</v>
      </c>
    </row>
    <row r="5" spans="1:14" ht="11.25">
      <c r="A5" t="s">
        <v>563</v>
      </c>
      <c r="J5" s="257">
        <v>2392</v>
      </c>
      <c r="K5" s="33">
        <v>101</v>
      </c>
      <c r="M5" s="257">
        <v>2392</v>
      </c>
      <c r="N5" s="33">
        <v>101</v>
      </c>
    </row>
    <row r="6" spans="1:14" ht="11.25">
      <c r="A6" t="s">
        <v>564</v>
      </c>
      <c r="J6" s="37"/>
      <c r="K6" s="33"/>
      <c r="M6" s="37"/>
      <c r="N6" s="33"/>
    </row>
    <row r="7" spans="1:14" ht="11.25">
      <c r="A7" t="s">
        <v>569</v>
      </c>
      <c r="J7" s="281" t="s">
        <v>658</v>
      </c>
      <c r="K7" s="282"/>
      <c r="M7" s="281" t="s">
        <v>660</v>
      </c>
      <c r="N7" s="282"/>
    </row>
    <row r="8" spans="1:14" ht="11.25">
      <c r="A8" t="s">
        <v>672</v>
      </c>
      <c r="J8" s="262"/>
      <c r="K8" s="263"/>
      <c r="M8" s="262"/>
      <c r="N8" s="263"/>
    </row>
    <row r="9" spans="1:14" ht="11.25">
      <c r="A9" t="s">
        <v>673</v>
      </c>
      <c r="J9" s="257">
        <f>'Degrees Granted'!C5</f>
        <v>1886.3333333333335</v>
      </c>
      <c r="K9" s="33">
        <f>'Degrees Granted'!D5</f>
        <v>31</v>
      </c>
      <c r="M9" s="257">
        <f>'Degrees Granted'!C11</f>
        <v>2195.6666666666665</v>
      </c>
      <c r="N9" s="33">
        <f>'Degrees Granted'!D11</f>
        <v>54</v>
      </c>
    </row>
    <row r="10" spans="1:14" ht="11.25">
      <c r="A10" t="s">
        <v>674</v>
      </c>
      <c r="J10" s="37"/>
      <c r="K10" s="33"/>
      <c r="M10" s="37"/>
      <c r="N10" s="33"/>
    </row>
    <row r="11" spans="1:14" ht="11.25">
      <c r="A11" t="s">
        <v>675</v>
      </c>
      <c r="J11" s="281" t="s">
        <v>659</v>
      </c>
      <c r="K11" s="282"/>
      <c r="M11" s="281" t="s">
        <v>659</v>
      </c>
      <c r="N11" s="282"/>
    </row>
    <row r="12" spans="1:14" ht="12.75" thickBot="1">
      <c r="A12" t="s">
        <v>676</v>
      </c>
      <c r="J12" s="258">
        <f>J9/J5</f>
        <v>0.7886008918617615</v>
      </c>
      <c r="K12" s="259">
        <f>K9/K5</f>
        <v>0.3069306930693069</v>
      </c>
      <c r="M12" s="258">
        <f>M9/M5</f>
        <v>0.9179208472686733</v>
      </c>
      <c r="N12" s="259">
        <f>N9/N5</f>
        <v>0.5346534653465347</v>
      </c>
    </row>
    <row r="13" ht="12.75" thickBot="1">
      <c r="A13" t="s">
        <v>677</v>
      </c>
    </row>
    <row r="14" spans="1:11" ht="11.25">
      <c r="A14" t="s">
        <v>678</v>
      </c>
      <c r="J14" s="185" t="s">
        <v>655</v>
      </c>
      <c r="K14" s="248" t="s">
        <v>657</v>
      </c>
    </row>
    <row r="15" spans="10:11" ht="11.25">
      <c r="J15" s="257">
        <v>409.83333333333337</v>
      </c>
      <c r="K15" s="33">
        <v>28</v>
      </c>
    </row>
    <row r="16" spans="5:11" ht="11.25">
      <c r="E16" s="10"/>
      <c r="J16" s="37"/>
      <c r="K16" s="33"/>
    </row>
    <row r="17" spans="2:11" ht="11.25">
      <c r="B17" s="284" t="s">
        <v>595</v>
      </c>
      <c r="C17" s="284"/>
      <c r="D17" s="284"/>
      <c r="E17" s="10"/>
      <c r="F17" s="284" t="s">
        <v>596</v>
      </c>
      <c r="G17" s="284"/>
      <c r="H17" s="284"/>
      <c r="J17" s="281" t="s">
        <v>660</v>
      </c>
      <c r="K17" s="282"/>
    </row>
    <row r="18" spans="1:11" ht="11.25">
      <c r="A18" s="202" t="s">
        <v>17</v>
      </c>
      <c r="B18" s="202" t="s">
        <v>545</v>
      </c>
      <c r="C18" s="202" t="s">
        <v>546</v>
      </c>
      <c r="D18" s="202" t="s">
        <v>549</v>
      </c>
      <c r="E18" s="201"/>
      <c r="F18" s="202" t="s">
        <v>545</v>
      </c>
      <c r="G18" s="202" t="s">
        <v>546</v>
      </c>
      <c r="H18" s="202" t="s">
        <v>549</v>
      </c>
      <c r="J18" s="257">
        <v>341.49999999999994</v>
      </c>
      <c r="K18" s="33">
        <v>12</v>
      </c>
    </row>
    <row r="19" spans="1:11" ht="11.25">
      <c r="A19" t="s">
        <v>93</v>
      </c>
      <c r="B19" s="1">
        <v>3</v>
      </c>
      <c r="C19" s="1">
        <v>10</v>
      </c>
      <c r="D19" s="86">
        <f>B19/C19</f>
        <v>0.3</v>
      </c>
      <c r="F19" s="1">
        <v>1</v>
      </c>
      <c r="G19" s="1">
        <v>6</v>
      </c>
      <c r="H19" s="86">
        <f>F19/G19</f>
        <v>0.16666666666666666</v>
      </c>
      <c r="J19" s="37"/>
      <c r="K19" s="33"/>
    </row>
    <row r="20" spans="1:11" ht="11.25">
      <c r="A20" t="s">
        <v>96</v>
      </c>
      <c r="B20" s="1">
        <v>5</v>
      </c>
      <c r="C20" s="1">
        <v>6</v>
      </c>
      <c r="D20" s="86">
        <f aca="true" t="shared" si="0" ref="D20:D56">B20/C20</f>
        <v>0.8333333333333334</v>
      </c>
      <c r="F20" s="1">
        <v>4</v>
      </c>
      <c r="G20" s="1">
        <v>4</v>
      </c>
      <c r="H20" s="86">
        <f aca="true" t="shared" si="1" ref="H20:H56">F20/G20</f>
        <v>1</v>
      </c>
      <c r="J20" s="281" t="s">
        <v>659</v>
      </c>
      <c r="K20" s="282"/>
    </row>
    <row r="21" spans="1:11" ht="12.75" thickBot="1">
      <c r="A21" t="s">
        <v>128</v>
      </c>
      <c r="B21" s="1">
        <v>4</v>
      </c>
      <c r="C21" s="1">
        <v>8</v>
      </c>
      <c r="D21" s="86">
        <f t="shared" si="0"/>
        <v>0.5</v>
      </c>
      <c r="F21" s="1">
        <v>2</v>
      </c>
      <c r="G21" s="1">
        <v>5</v>
      </c>
      <c r="H21" s="86">
        <f t="shared" si="1"/>
        <v>0.4</v>
      </c>
      <c r="J21" s="258">
        <v>0.8332655551037005</v>
      </c>
      <c r="K21" s="259">
        <v>0.42857142857142855</v>
      </c>
    </row>
    <row r="22" spans="1:8" ht="11.25">
      <c r="A22" t="s">
        <v>187</v>
      </c>
      <c r="B22" s="1">
        <v>6</v>
      </c>
      <c r="C22" s="1">
        <v>8</v>
      </c>
      <c r="D22" s="86">
        <f t="shared" si="0"/>
        <v>0.75</v>
      </c>
      <c r="F22" s="1">
        <v>1</v>
      </c>
      <c r="G22" s="1">
        <v>5</v>
      </c>
      <c r="H22" s="86">
        <f t="shared" si="1"/>
        <v>0.2</v>
      </c>
    </row>
    <row r="23" spans="1:8" ht="11.25">
      <c r="A23" t="s">
        <v>103</v>
      </c>
      <c r="B23" s="1">
        <v>5</v>
      </c>
      <c r="C23" s="1">
        <v>10</v>
      </c>
      <c r="D23" s="86">
        <f t="shared" si="0"/>
        <v>0.5</v>
      </c>
      <c r="F23" s="1">
        <v>1</v>
      </c>
      <c r="G23" s="1">
        <v>5</v>
      </c>
      <c r="H23" s="86">
        <f t="shared" si="1"/>
        <v>0.2</v>
      </c>
    </row>
    <row r="24" spans="1:8" ht="11.25">
      <c r="A24" t="s">
        <v>189</v>
      </c>
      <c r="B24" s="1">
        <v>3</v>
      </c>
      <c r="C24" s="1">
        <v>8</v>
      </c>
      <c r="D24" s="86">
        <f t="shared" si="0"/>
        <v>0.375</v>
      </c>
      <c r="F24" s="1">
        <v>0</v>
      </c>
      <c r="G24" s="1">
        <v>5</v>
      </c>
      <c r="H24" s="86">
        <f t="shared" si="1"/>
        <v>0</v>
      </c>
    </row>
    <row r="25" spans="1:12" ht="11.25">
      <c r="A25" t="s">
        <v>106</v>
      </c>
      <c r="B25" s="1">
        <v>2</v>
      </c>
      <c r="C25" s="1">
        <v>6</v>
      </c>
      <c r="D25" s="86">
        <f t="shared" si="0"/>
        <v>0.3333333333333333</v>
      </c>
      <c r="F25" s="1">
        <v>2</v>
      </c>
      <c r="G25" s="1">
        <v>4</v>
      </c>
      <c r="H25" s="86">
        <f t="shared" si="1"/>
        <v>0.5</v>
      </c>
      <c r="J25" s="283" t="s">
        <v>667</v>
      </c>
      <c r="K25" s="283"/>
      <c r="L25" s="283"/>
    </row>
    <row r="26" spans="1:12" ht="11.25">
      <c r="A26" t="s">
        <v>108</v>
      </c>
      <c r="B26" s="1">
        <v>6</v>
      </c>
      <c r="C26" s="1">
        <v>8</v>
      </c>
      <c r="D26" s="86">
        <f t="shared" si="0"/>
        <v>0.75</v>
      </c>
      <c r="F26" s="1">
        <v>4</v>
      </c>
      <c r="G26" s="1">
        <v>5</v>
      </c>
      <c r="H26" s="86">
        <f t="shared" si="1"/>
        <v>0.8</v>
      </c>
      <c r="L26" t="s">
        <v>663</v>
      </c>
    </row>
    <row r="27" spans="1:12" ht="11.25">
      <c r="A27" t="s">
        <v>253</v>
      </c>
      <c r="B27" s="1">
        <v>3</v>
      </c>
      <c r="C27" s="1">
        <v>10</v>
      </c>
      <c r="D27" s="86">
        <f t="shared" si="0"/>
        <v>0.3</v>
      </c>
      <c r="F27" s="1">
        <v>2</v>
      </c>
      <c r="G27" s="1">
        <v>6</v>
      </c>
      <c r="H27" s="86">
        <f t="shared" si="1"/>
        <v>0.3333333333333333</v>
      </c>
      <c r="J27" t="s">
        <v>661</v>
      </c>
      <c r="K27" s="184">
        <v>5640</v>
      </c>
      <c r="L27" s="184">
        <v>116</v>
      </c>
    </row>
    <row r="28" spans="1:12" ht="11.25">
      <c r="A28" t="s">
        <v>112</v>
      </c>
      <c r="B28" s="1">
        <v>5</v>
      </c>
      <c r="C28" s="1">
        <v>10</v>
      </c>
      <c r="D28" s="86">
        <f t="shared" si="0"/>
        <v>0.5</v>
      </c>
      <c r="F28" s="1">
        <v>2</v>
      </c>
      <c r="G28" s="1">
        <v>6</v>
      </c>
      <c r="H28" s="86">
        <f t="shared" si="1"/>
        <v>0.3333333333333333</v>
      </c>
      <c r="J28" t="s">
        <v>662</v>
      </c>
      <c r="K28" s="184">
        <v>4939</v>
      </c>
      <c r="L28" s="184">
        <v>49</v>
      </c>
    </row>
    <row r="29" spans="1:12" ht="11.25">
      <c r="A29" t="s">
        <v>114</v>
      </c>
      <c r="B29" s="1">
        <v>6</v>
      </c>
      <c r="C29" s="1">
        <v>8</v>
      </c>
      <c r="D29" s="86">
        <f t="shared" si="0"/>
        <v>0.75</v>
      </c>
      <c r="F29" s="1">
        <v>3</v>
      </c>
      <c r="G29" s="1">
        <v>5</v>
      </c>
      <c r="H29" s="86">
        <f t="shared" si="1"/>
        <v>0.6</v>
      </c>
      <c r="J29" t="s">
        <v>664</v>
      </c>
      <c r="K29" s="86">
        <v>0.875709219858156</v>
      </c>
      <c r="L29" s="86">
        <v>0.4224137931034483</v>
      </c>
    </row>
    <row r="30" spans="1:8" ht="11.25">
      <c r="A30" t="s">
        <v>399</v>
      </c>
      <c r="B30" s="1">
        <v>1</v>
      </c>
      <c r="C30" s="1">
        <v>8</v>
      </c>
      <c r="D30" s="86">
        <f t="shared" si="0"/>
        <v>0.125</v>
      </c>
      <c r="F30" s="1">
        <v>0</v>
      </c>
      <c r="G30" s="1">
        <v>5</v>
      </c>
      <c r="H30" s="86">
        <f t="shared" si="1"/>
        <v>0</v>
      </c>
    </row>
    <row r="31" spans="1:12" ht="11.25">
      <c r="A31" t="s">
        <v>193</v>
      </c>
      <c r="B31" s="1">
        <v>3</v>
      </c>
      <c r="C31" s="1">
        <v>8</v>
      </c>
      <c r="D31" s="86">
        <f t="shared" si="0"/>
        <v>0.375</v>
      </c>
      <c r="F31" s="1">
        <v>2</v>
      </c>
      <c r="G31" s="1">
        <v>5</v>
      </c>
      <c r="H31" s="86">
        <f t="shared" si="1"/>
        <v>0.4</v>
      </c>
      <c r="J31" s="264" t="s">
        <v>661</v>
      </c>
      <c r="K31" s="265">
        <v>5640</v>
      </c>
      <c r="L31" s="264">
        <v>116</v>
      </c>
    </row>
    <row r="32" spans="1:12" ht="11.25">
      <c r="A32" t="s">
        <v>118</v>
      </c>
      <c r="B32" s="1">
        <v>7</v>
      </c>
      <c r="C32" s="1">
        <v>10</v>
      </c>
      <c r="D32" s="86">
        <f t="shared" si="0"/>
        <v>0.7</v>
      </c>
      <c r="F32" s="1">
        <v>4</v>
      </c>
      <c r="G32" s="1">
        <v>6</v>
      </c>
      <c r="H32" s="86">
        <f t="shared" si="1"/>
        <v>0.6666666666666666</v>
      </c>
      <c r="J32" s="264" t="s">
        <v>665</v>
      </c>
      <c r="K32" s="265">
        <v>5330</v>
      </c>
      <c r="L32" s="264">
        <v>65</v>
      </c>
    </row>
    <row r="33" spans="1:12" ht="11.25">
      <c r="A33" t="s">
        <v>121</v>
      </c>
      <c r="B33" s="1">
        <v>2</v>
      </c>
      <c r="C33" s="1">
        <v>8</v>
      </c>
      <c r="D33" s="86">
        <f t="shared" si="0"/>
        <v>0.25</v>
      </c>
      <c r="F33" s="1">
        <v>2</v>
      </c>
      <c r="G33" s="1">
        <v>5</v>
      </c>
      <c r="H33" s="86">
        <f t="shared" si="1"/>
        <v>0.4</v>
      </c>
      <c r="J33" s="264" t="s">
        <v>664</v>
      </c>
      <c r="K33" s="252">
        <v>0.9450354609929078</v>
      </c>
      <c r="L33" s="252">
        <v>0.5603448275862069</v>
      </c>
    </row>
    <row r="34" spans="1:12" ht="11.25">
      <c r="A34" t="s">
        <v>196</v>
      </c>
      <c r="B34" s="1">
        <v>1</v>
      </c>
      <c r="C34" s="1">
        <v>8</v>
      </c>
      <c r="D34" s="86">
        <f t="shared" si="0"/>
        <v>0.125</v>
      </c>
      <c r="F34" s="1">
        <v>0</v>
      </c>
      <c r="G34" s="1">
        <v>5</v>
      </c>
      <c r="H34" s="86">
        <f t="shared" si="1"/>
        <v>0</v>
      </c>
      <c r="J34" s="264"/>
      <c r="K34" s="264"/>
      <c r="L34" s="264"/>
    </row>
    <row r="35" spans="1:12" ht="11.25">
      <c r="A35" t="s">
        <v>309</v>
      </c>
      <c r="B35" s="1">
        <v>1</v>
      </c>
      <c r="C35" s="1">
        <v>8</v>
      </c>
      <c r="D35" s="86">
        <f t="shared" si="0"/>
        <v>0.125</v>
      </c>
      <c r="F35" s="1">
        <v>2</v>
      </c>
      <c r="G35" s="1">
        <v>5</v>
      </c>
      <c r="H35" s="86">
        <f t="shared" si="1"/>
        <v>0.4</v>
      </c>
      <c r="J35" s="264" t="s">
        <v>661</v>
      </c>
      <c r="K35" s="265">
        <v>5640</v>
      </c>
      <c r="L35" s="264">
        <v>116</v>
      </c>
    </row>
    <row r="36" spans="1:12" ht="11.25">
      <c r="A36" t="s">
        <v>130</v>
      </c>
      <c r="B36" s="1">
        <v>4</v>
      </c>
      <c r="C36" s="1">
        <v>8</v>
      </c>
      <c r="D36" s="86">
        <f t="shared" si="0"/>
        <v>0.5</v>
      </c>
      <c r="F36" s="1">
        <v>3</v>
      </c>
      <c r="G36" s="1">
        <v>5</v>
      </c>
      <c r="H36" s="86">
        <f t="shared" si="1"/>
        <v>0.6</v>
      </c>
      <c r="J36" s="264" t="s">
        <v>681</v>
      </c>
      <c r="K36" s="265">
        <v>5377</v>
      </c>
      <c r="L36" s="264">
        <v>68</v>
      </c>
    </row>
    <row r="37" spans="1:12" ht="11.25">
      <c r="A37" t="s">
        <v>135</v>
      </c>
      <c r="B37" s="1">
        <v>4</v>
      </c>
      <c r="C37" s="1">
        <v>8</v>
      </c>
      <c r="D37" s="86">
        <f t="shared" si="0"/>
        <v>0.5</v>
      </c>
      <c r="F37" s="1">
        <v>2</v>
      </c>
      <c r="G37" s="1">
        <v>5</v>
      </c>
      <c r="H37" s="86">
        <f t="shared" si="1"/>
        <v>0.4</v>
      </c>
      <c r="J37" s="264" t="s">
        <v>664</v>
      </c>
      <c r="K37" s="252">
        <v>0.9533687943262411</v>
      </c>
      <c r="L37" s="252">
        <v>0.5862068965517241</v>
      </c>
    </row>
    <row r="38" spans="1:12" ht="11.25">
      <c r="A38" t="s">
        <v>139</v>
      </c>
      <c r="B38" s="1">
        <v>5</v>
      </c>
      <c r="C38" s="1">
        <v>8</v>
      </c>
      <c r="D38" s="86">
        <f t="shared" si="0"/>
        <v>0.625</v>
      </c>
      <c r="F38" s="1">
        <v>3</v>
      </c>
      <c r="G38" s="1">
        <v>5</v>
      </c>
      <c r="H38" s="86">
        <f t="shared" si="1"/>
        <v>0.6</v>
      </c>
      <c r="J38" s="264"/>
      <c r="K38" s="264"/>
      <c r="L38" s="264"/>
    </row>
    <row r="39" spans="1:12" ht="11.25">
      <c r="A39" t="s">
        <v>140</v>
      </c>
      <c r="B39" s="1">
        <v>6</v>
      </c>
      <c r="C39" s="1">
        <v>10</v>
      </c>
      <c r="D39" s="86">
        <f t="shared" si="0"/>
        <v>0.6</v>
      </c>
      <c r="F39" s="1">
        <v>3</v>
      </c>
      <c r="G39" s="1">
        <v>6</v>
      </c>
      <c r="H39" s="86">
        <f t="shared" si="1"/>
        <v>0.5</v>
      </c>
      <c r="J39" s="264" t="s">
        <v>661</v>
      </c>
      <c r="K39" s="265">
        <v>5640</v>
      </c>
      <c r="L39" s="264">
        <v>116</v>
      </c>
    </row>
    <row r="40" spans="1:12" ht="11.25">
      <c r="A40" t="s">
        <v>150</v>
      </c>
      <c r="B40" s="1">
        <v>7</v>
      </c>
      <c r="C40" s="1">
        <v>8</v>
      </c>
      <c r="D40" s="86">
        <f t="shared" si="0"/>
        <v>0.875</v>
      </c>
      <c r="F40" s="1">
        <v>5</v>
      </c>
      <c r="G40" s="1">
        <v>5</v>
      </c>
      <c r="H40" s="86">
        <f t="shared" si="1"/>
        <v>1</v>
      </c>
      <c r="J40" s="264" t="s">
        <v>680</v>
      </c>
      <c r="K40" s="265">
        <v>5493</v>
      </c>
      <c r="L40" s="264">
        <v>78</v>
      </c>
    </row>
    <row r="41" spans="1:12" ht="11.25">
      <c r="A41" t="s">
        <v>205</v>
      </c>
      <c r="B41" s="1">
        <v>2</v>
      </c>
      <c r="C41" s="1">
        <v>8</v>
      </c>
      <c r="D41" s="86">
        <f t="shared" si="0"/>
        <v>0.25</v>
      </c>
      <c r="F41" s="1">
        <v>1</v>
      </c>
      <c r="G41" s="1">
        <v>5</v>
      </c>
      <c r="H41" s="86">
        <f t="shared" si="1"/>
        <v>0.2</v>
      </c>
      <c r="J41" s="264" t="s">
        <v>664</v>
      </c>
      <c r="K41" s="252">
        <v>0.9739361702127659</v>
      </c>
      <c r="L41" s="252">
        <v>0.6724137931034483</v>
      </c>
    </row>
    <row r="42" spans="1:12" ht="11.25">
      <c r="A42" t="s">
        <v>480</v>
      </c>
      <c r="B42" s="1">
        <v>2</v>
      </c>
      <c r="C42" s="1">
        <v>8</v>
      </c>
      <c r="D42" s="86">
        <f t="shared" si="0"/>
        <v>0.25</v>
      </c>
      <c r="F42" s="1">
        <v>1</v>
      </c>
      <c r="G42" s="1">
        <v>5</v>
      </c>
      <c r="H42" s="86">
        <f t="shared" si="1"/>
        <v>0.2</v>
      </c>
      <c r="J42" s="283" t="s">
        <v>668</v>
      </c>
      <c r="K42" s="283"/>
      <c r="L42" s="283"/>
    </row>
    <row r="43" spans="1:12" ht="11.25">
      <c r="A43" t="s">
        <v>152</v>
      </c>
      <c r="B43" s="1">
        <v>3</v>
      </c>
      <c r="C43" s="1">
        <v>8</v>
      </c>
      <c r="D43" s="86">
        <f t="shared" si="0"/>
        <v>0.375</v>
      </c>
      <c r="F43" s="1">
        <v>0</v>
      </c>
      <c r="G43" s="1">
        <v>5</v>
      </c>
      <c r="H43" s="86">
        <f t="shared" si="1"/>
        <v>0</v>
      </c>
      <c r="L43" t="s">
        <v>663</v>
      </c>
    </row>
    <row r="44" spans="1:12" ht="11.25">
      <c r="A44" t="s">
        <v>557</v>
      </c>
      <c r="B44" s="1">
        <v>2</v>
      </c>
      <c r="C44" s="1">
        <v>8</v>
      </c>
      <c r="D44" s="86">
        <f t="shared" si="0"/>
        <v>0.25</v>
      </c>
      <c r="F44" s="1">
        <v>0</v>
      </c>
      <c r="G44" s="1">
        <v>5</v>
      </c>
      <c r="H44" s="86">
        <f t="shared" si="1"/>
        <v>0</v>
      </c>
      <c r="J44" t="s">
        <v>661</v>
      </c>
      <c r="K44" s="184">
        <v>1120</v>
      </c>
      <c r="L44" s="184">
        <v>39</v>
      </c>
    </row>
    <row r="45" spans="1:12" ht="11.25">
      <c r="A45" t="s">
        <v>560</v>
      </c>
      <c r="B45" s="1">
        <v>5</v>
      </c>
      <c r="C45" s="1">
        <v>8</v>
      </c>
      <c r="D45" s="86">
        <f t="shared" si="0"/>
        <v>0.625</v>
      </c>
      <c r="F45" s="1">
        <v>3</v>
      </c>
      <c r="G45" s="1">
        <v>5</v>
      </c>
      <c r="H45" s="86">
        <f t="shared" si="1"/>
        <v>0.6</v>
      </c>
      <c r="J45" t="s">
        <v>665</v>
      </c>
      <c r="K45" s="184">
        <v>997</v>
      </c>
      <c r="L45" s="184">
        <v>17</v>
      </c>
    </row>
    <row r="46" spans="1:12" ht="11.25">
      <c r="A46" t="s">
        <v>162</v>
      </c>
      <c r="B46" s="1">
        <v>9</v>
      </c>
      <c r="C46" s="1">
        <v>10</v>
      </c>
      <c r="D46" s="86">
        <f t="shared" si="0"/>
        <v>0.9</v>
      </c>
      <c r="F46" s="1">
        <v>5</v>
      </c>
      <c r="G46" s="1">
        <v>6</v>
      </c>
      <c r="H46" s="86">
        <f t="shared" si="1"/>
        <v>0.8333333333333334</v>
      </c>
      <c r="J46" t="s">
        <v>664</v>
      </c>
      <c r="K46" s="86">
        <v>0.8901785714285714</v>
      </c>
      <c r="L46" s="86">
        <v>0.4358974358974359</v>
      </c>
    </row>
    <row r="47" spans="1:8" ht="11.25">
      <c r="A47" t="s">
        <v>161</v>
      </c>
      <c r="B47" s="1">
        <v>2</v>
      </c>
      <c r="C47" s="1">
        <v>8</v>
      </c>
      <c r="D47" s="86">
        <f t="shared" si="0"/>
        <v>0.25</v>
      </c>
      <c r="F47" s="1">
        <v>0</v>
      </c>
      <c r="G47" s="1">
        <v>5</v>
      </c>
      <c r="H47" s="86">
        <f t="shared" si="1"/>
        <v>0</v>
      </c>
    </row>
    <row r="48" spans="1:12" ht="11.25">
      <c r="A48" t="s">
        <v>168</v>
      </c>
      <c r="B48" s="1">
        <v>3</v>
      </c>
      <c r="C48" s="1">
        <v>8</v>
      </c>
      <c r="D48" s="86">
        <f t="shared" si="0"/>
        <v>0.375</v>
      </c>
      <c r="F48" s="1">
        <v>1</v>
      </c>
      <c r="G48" s="1">
        <v>5</v>
      </c>
      <c r="H48" s="86">
        <f t="shared" si="1"/>
        <v>0.2</v>
      </c>
      <c r="J48" s="264" t="s">
        <v>661</v>
      </c>
      <c r="K48" s="265">
        <v>1120</v>
      </c>
      <c r="L48" s="264">
        <v>39</v>
      </c>
    </row>
    <row r="49" spans="1:12" ht="11.25">
      <c r="A49" t="s">
        <v>561</v>
      </c>
      <c r="B49" s="1">
        <v>4</v>
      </c>
      <c r="C49" s="1">
        <v>10</v>
      </c>
      <c r="D49" s="86">
        <f t="shared" si="0"/>
        <v>0.4</v>
      </c>
      <c r="F49" s="1">
        <v>1</v>
      </c>
      <c r="G49" s="1">
        <v>5</v>
      </c>
      <c r="H49" s="86">
        <f t="shared" si="1"/>
        <v>0.2</v>
      </c>
      <c r="J49" s="264" t="s">
        <v>681</v>
      </c>
      <c r="K49" s="265">
        <v>1067</v>
      </c>
      <c r="L49" s="264">
        <v>21</v>
      </c>
    </row>
    <row r="50" spans="1:12" ht="11.25">
      <c r="A50" t="s">
        <v>347</v>
      </c>
      <c r="B50" s="1">
        <v>4</v>
      </c>
      <c r="C50" s="1">
        <v>10</v>
      </c>
      <c r="D50" s="86">
        <f t="shared" si="0"/>
        <v>0.4</v>
      </c>
      <c r="F50" s="1">
        <v>2</v>
      </c>
      <c r="G50" s="1">
        <v>6</v>
      </c>
      <c r="H50" s="86">
        <f t="shared" si="1"/>
        <v>0.3333333333333333</v>
      </c>
      <c r="J50" s="264" t="s">
        <v>664</v>
      </c>
      <c r="K50" s="252">
        <v>0.9526785714285714</v>
      </c>
      <c r="L50" s="252">
        <v>0.5384615384615384</v>
      </c>
    </row>
    <row r="51" spans="1:12" ht="11.25">
      <c r="A51" t="s">
        <v>434</v>
      </c>
      <c r="B51" s="1">
        <v>2</v>
      </c>
      <c r="C51" s="1">
        <v>8</v>
      </c>
      <c r="D51" s="86">
        <f t="shared" si="0"/>
        <v>0.25</v>
      </c>
      <c r="F51" s="1">
        <v>1</v>
      </c>
      <c r="G51" s="1">
        <v>5</v>
      </c>
      <c r="H51" s="86">
        <f t="shared" si="1"/>
        <v>0.2</v>
      </c>
      <c r="J51" s="264"/>
      <c r="K51" s="252"/>
      <c r="L51" s="252"/>
    </row>
    <row r="52" spans="1:12" ht="11.25">
      <c r="A52" t="s">
        <v>558</v>
      </c>
      <c r="B52" s="1">
        <v>2</v>
      </c>
      <c r="C52" s="1">
        <v>8</v>
      </c>
      <c r="D52" s="86">
        <f t="shared" si="0"/>
        <v>0.25</v>
      </c>
      <c r="F52" s="1">
        <v>1</v>
      </c>
      <c r="G52" s="1">
        <v>5</v>
      </c>
      <c r="H52" s="86">
        <f t="shared" si="1"/>
        <v>0.2</v>
      </c>
      <c r="J52" s="264" t="s">
        <v>661</v>
      </c>
      <c r="K52" s="265">
        <v>1120</v>
      </c>
      <c r="L52" s="264">
        <v>39</v>
      </c>
    </row>
    <row r="53" spans="1:12" ht="11.25">
      <c r="A53" t="s">
        <v>446</v>
      </c>
      <c r="B53" s="1">
        <v>1</v>
      </c>
      <c r="C53" s="1">
        <v>8</v>
      </c>
      <c r="D53" s="86">
        <f t="shared" si="0"/>
        <v>0.125</v>
      </c>
      <c r="F53" s="1">
        <v>0</v>
      </c>
      <c r="G53" s="1">
        <v>5</v>
      </c>
      <c r="H53" s="86">
        <f t="shared" si="1"/>
        <v>0</v>
      </c>
      <c r="J53" s="264" t="s">
        <v>680</v>
      </c>
      <c r="K53" s="265">
        <v>1116</v>
      </c>
      <c r="L53" s="264">
        <v>25</v>
      </c>
    </row>
    <row r="54" spans="1:12" ht="11.25">
      <c r="A54" t="s">
        <v>559</v>
      </c>
      <c r="B54" s="1">
        <v>7</v>
      </c>
      <c r="C54" s="1">
        <v>10</v>
      </c>
      <c r="D54" s="86">
        <f t="shared" si="0"/>
        <v>0.7</v>
      </c>
      <c r="F54" s="1">
        <v>4</v>
      </c>
      <c r="G54" s="1">
        <v>6</v>
      </c>
      <c r="H54" s="86">
        <f t="shared" si="1"/>
        <v>0.6666666666666666</v>
      </c>
      <c r="J54" s="264" t="s">
        <v>664</v>
      </c>
      <c r="K54" s="252">
        <v>0.9964285714285714</v>
      </c>
      <c r="L54" s="252">
        <v>0.6410256410256411</v>
      </c>
    </row>
    <row r="55" spans="1:8" ht="11.25">
      <c r="A55" t="s">
        <v>177</v>
      </c>
      <c r="B55" s="1">
        <v>8</v>
      </c>
      <c r="C55" s="1">
        <v>10</v>
      </c>
      <c r="D55" s="86">
        <f t="shared" si="0"/>
        <v>0.8</v>
      </c>
      <c r="F55" s="1">
        <v>4</v>
      </c>
      <c r="G55" s="1">
        <v>6</v>
      </c>
      <c r="H55" s="86">
        <f t="shared" si="1"/>
        <v>0.6666666666666666</v>
      </c>
    </row>
    <row r="56" spans="1:8" ht="11.25">
      <c r="A56" t="s">
        <v>181</v>
      </c>
      <c r="B56" s="1">
        <v>6</v>
      </c>
      <c r="C56" s="1">
        <v>8</v>
      </c>
      <c r="D56" s="86">
        <f t="shared" si="0"/>
        <v>0.75</v>
      </c>
      <c r="F56" s="1">
        <v>4</v>
      </c>
      <c r="G56" s="1">
        <v>5</v>
      </c>
      <c r="H56" s="86">
        <f t="shared" si="1"/>
        <v>0.8</v>
      </c>
    </row>
    <row r="59" spans="1:4" ht="11.25">
      <c r="A59" s="203" t="s">
        <v>521</v>
      </c>
      <c r="B59" s="202" t="s">
        <v>522</v>
      </c>
      <c r="C59" s="1"/>
      <c r="D59" s="1"/>
    </row>
    <row r="60" spans="1:4" ht="11.25">
      <c r="A60" s="175" t="s">
        <v>420</v>
      </c>
      <c r="B60" s="1" t="s">
        <v>530</v>
      </c>
      <c r="C60" s="1"/>
      <c r="D60" s="1"/>
    </row>
    <row r="61" spans="1:4" ht="11.25">
      <c r="A61" s="175" t="s">
        <v>531</v>
      </c>
      <c r="B61" s="1" t="s">
        <v>532</v>
      </c>
      <c r="C61" s="1"/>
      <c r="D61" s="1"/>
    </row>
    <row r="62" spans="1:4" ht="11.25">
      <c r="A62" s="175" t="s">
        <v>524</v>
      </c>
      <c r="B62" s="1" t="s">
        <v>525</v>
      </c>
      <c r="C62" s="1"/>
      <c r="D62" s="1"/>
    </row>
    <row r="63" spans="1:4" ht="11.25">
      <c r="A63" s="175" t="s">
        <v>430</v>
      </c>
      <c r="B63" s="1" t="s">
        <v>539</v>
      </c>
      <c r="C63" s="1"/>
      <c r="D63" s="1"/>
    </row>
    <row r="64" spans="1:4" ht="11.25">
      <c r="A64" s="175" t="s">
        <v>534</v>
      </c>
      <c r="B64" s="1" t="s">
        <v>536</v>
      </c>
      <c r="C64" s="1"/>
      <c r="D64" s="1"/>
    </row>
    <row r="65" spans="1:4" ht="11.25">
      <c r="A65" s="175" t="s">
        <v>526</v>
      </c>
      <c r="B65" s="1" t="s">
        <v>527</v>
      </c>
      <c r="C65" s="1"/>
      <c r="D65" s="1"/>
    </row>
    <row r="66" spans="1:2" ht="11.25">
      <c r="A66" s="175" t="s">
        <v>280</v>
      </c>
      <c r="B66" s="1" t="s">
        <v>571</v>
      </c>
    </row>
    <row r="67" spans="1:4" ht="11.25">
      <c r="A67" s="175" t="s">
        <v>240</v>
      </c>
      <c r="B67" s="1" t="s">
        <v>540</v>
      </c>
      <c r="C67" s="1"/>
      <c r="D67" s="1"/>
    </row>
    <row r="68" spans="1:4" ht="11.25">
      <c r="A68" s="175" t="s">
        <v>314</v>
      </c>
      <c r="B68" s="1" t="s">
        <v>541</v>
      </c>
      <c r="C68" s="1"/>
      <c r="D68" s="1"/>
    </row>
    <row r="69" spans="1:4" ht="11.25">
      <c r="A69" s="175" t="s">
        <v>353</v>
      </c>
      <c r="B69" s="1" t="s">
        <v>529</v>
      </c>
      <c r="C69" s="1"/>
      <c r="D69" s="1"/>
    </row>
    <row r="70" spans="1:4" ht="11.25">
      <c r="A70" s="175" t="s">
        <v>236</v>
      </c>
      <c r="B70" s="1" t="s">
        <v>523</v>
      </c>
      <c r="C70" s="1"/>
      <c r="D70" s="1"/>
    </row>
    <row r="71" spans="1:4" ht="11.25">
      <c r="A71" s="175" t="s">
        <v>329</v>
      </c>
      <c r="B71" s="1" t="s">
        <v>528</v>
      </c>
      <c r="C71" s="1"/>
      <c r="D71" s="1"/>
    </row>
    <row r="72" spans="1:4" ht="11.25">
      <c r="A72" s="175" t="s">
        <v>335</v>
      </c>
      <c r="B72" s="1" t="s">
        <v>528</v>
      </c>
      <c r="C72" s="1"/>
      <c r="D72" s="1"/>
    </row>
    <row r="73" spans="1:4" ht="11.25">
      <c r="A73" s="175" t="s">
        <v>359</v>
      </c>
      <c r="B73" s="1" t="s">
        <v>535</v>
      </c>
      <c r="C73" s="1"/>
      <c r="D73" s="1"/>
    </row>
    <row r="74" spans="1:4" ht="11.25">
      <c r="A74" s="175" t="s">
        <v>382</v>
      </c>
      <c r="B74" s="1" t="s">
        <v>533</v>
      </c>
      <c r="C74" s="1"/>
      <c r="D74" s="1"/>
    </row>
    <row r="75" spans="1:4" ht="11.25">
      <c r="A75" s="175" t="s">
        <v>367</v>
      </c>
      <c r="B75" s="1" t="s">
        <v>542</v>
      </c>
      <c r="C75" s="1"/>
      <c r="D75" s="1"/>
    </row>
    <row r="76" spans="1:4" ht="11.25">
      <c r="A76" s="175" t="s">
        <v>537</v>
      </c>
      <c r="B76" s="1" t="s">
        <v>538</v>
      </c>
      <c r="C76" s="1"/>
      <c r="D76" s="1"/>
    </row>
  </sheetData>
  <mergeCells count="11">
    <mergeCell ref="J25:L25"/>
    <mergeCell ref="J42:L42"/>
    <mergeCell ref="J11:K11"/>
    <mergeCell ref="J20:K20"/>
    <mergeCell ref="J3:K3"/>
    <mergeCell ref="B17:D17"/>
    <mergeCell ref="F17:H17"/>
    <mergeCell ref="J7:K7"/>
    <mergeCell ref="J17:K17"/>
    <mergeCell ref="M7:N7"/>
    <mergeCell ref="M11:N11"/>
  </mergeCells>
  <conditionalFormatting sqref="D19:D56">
    <cfRule type="top10" priority="1" dxfId="42" rank="30" bottom="1" percent="1"/>
    <cfRule type="top10" priority="4" dxfId="0" rank="30" percent="1"/>
  </conditionalFormatting>
  <conditionalFormatting sqref="H19:H56">
    <cfRule type="top10" priority="2" dxfId="42" rank="10" bottom="1" percent="1"/>
    <cfRule type="top10" priority="3" dxfId="0" rank="30" percent="1"/>
  </conditionalFormatting>
  <printOptions/>
  <pageMargins left="0.25" right="0.25" top="0.75" bottom="0.75" header="0.3" footer="0.3"/>
  <pageSetup fitToHeight="1" fitToWidth="1" horizontalDpi="600" verticalDpi="600" orientation="landscape" scale="68"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V66"/>
  <sheetViews>
    <sheetView showGridLines="0" workbookViewId="0" topLeftCell="A15">
      <selection activeCell="M43" sqref="M43:N43"/>
    </sheetView>
  </sheetViews>
  <sheetFormatPr defaultColWidth="9.00390625" defaultRowHeight="11.25"/>
  <cols>
    <col min="1" max="1" width="4.625" style="1" customWidth="1"/>
    <col min="2" max="5" width="9.00390625" style="1" customWidth="1"/>
    <col min="6" max="6" width="7.125" style="1" customWidth="1"/>
    <col min="7" max="8" width="9.125" style="1" customWidth="1"/>
    <col min="9" max="9" width="1.75390625" style="1" customWidth="1"/>
    <col min="10" max="11" width="9.125" style="1" customWidth="1"/>
    <col min="12" max="12" width="1.75390625" style="1" customWidth="1"/>
    <col min="13" max="14" width="9.125" style="1" customWidth="1"/>
    <col min="15" max="15" width="3.75390625" style="10" customWidth="1"/>
    <col min="16" max="16384" width="9.00390625" style="10" customWidth="1"/>
  </cols>
  <sheetData>
    <row r="1" spans="1:14" s="12" customFormat="1" ht="11.25">
      <c r="A1" s="17" t="s">
        <v>88</v>
      </c>
      <c r="B1" s="18"/>
      <c r="C1" s="18"/>
      <c r="D1" s="18"/>
      <c r="E1" s="18"/>
      <c r="F1" s="18"/>
      <c r="G1" s="18"/>
      <c r="H1" s="18"/>
      <c r="I1" s="18"/>
      <c r="J1" s="18"/>
      <c r="K1" s="18"/>
      <c r="L1" s="18"/>
      <c r="M1" s="18"/>
      <c r="N1" s="19"/>
    </row>
    <row r="2" spans="1:16" s="12" customFormat="1" ht="11.25">
      <c r="A2" s="20" t="s">
        <v>89</v>
      </c>
      <c r="B2" s="15"/>
      <c r="C2" s="15"/>
      <c r="D2" s="15"/>
      <c r="E2" s="15"/>
      <c r="F2" s="15"/>
      <c r="G2" s="328" t="s">
        <v>26</v>
      </c>
      <c r="H2" s="328"/>
      <c r="I2" s="328"/>
      <c r="J2" s="328"/>
      <c r="K2" s="328"/>
      <c r="L2" s="328"/>
      <c r="M2" s="328"/>
      <c r="N2" s="329"/>
      <c r="P2" s="43" t="s">
        <v>27</v>
      </c>
    </row>
    <row r="3" spans="1:14" ht="11.25">
      <c r="A3" s="45"/>
      <c r="B3" s="2"/>
      <c r="C3" s="2"/>
      <c r="D3" s="2"/>
      <c r="E3" s="2"/>
      <c r="F3" s="16" t="s">
        <v>14</v>
      </c>
      <c r="G3" s="330">
        <v>19</v>
      </c>
      <c r="H3" s="327"/>
      <c r="I3" s="2"/>
      <c r="J3" s="330">
        <v>18</v>
      </c>
      <c r="K3" s="327"/>
      <c r="L3" s="2"/>
      <c r="M3" s="330">
        <v>17</v>
      </c>
      <c r="N3" s="331"/>
    </row>
    <row r="4" spans="1:14" ht="11.25">
      <c r="A4" s="20"/>
      <c r="B4" s="2"/>
      <c r="C4" s="2"/>
      <c r="D4" s="2"/>
      <c r="E4" s="2"/>
      <c r="F4" s="16" t="s">
        <v>15</v>
      </c>
      <c r="G4" s="330" t="s">
        <v>80</v>
      </c>
      <c r="H4" s="327"/>
      <c r="I4" s="2"/>
      <c r="J4" s="330" t="s">
        <v>81</v>
      </c>
      <c r="K4" s="327"/>
      <c r="L4" s="2"/>
      <c r="M4" s="330" t="s">
        <v>82</v>
      </c>
      <c r="N4" s="331"/>
    </row>
    <row r="5" spans="1:14" ht="11.25">
      <c r="A5" s="20"/>
      <c r="B5" s="2"/>
      <c r="C5" s="2"/>
      <c r="D5" s="2"/>
      <c r="E5" s="2"/>
      <c r="F5" s="16" t="s">
        <v>16</v>
      </c>
      <c r="G5" s="321" t="s">
        <v>95</v>
      </c>
      <c r="H5" s="322"/>
      <c r="I5" s="2"/>
      <c r="J5" s="28"/>
      <c r="K5" s="28"/>
      <c r="L5" s="28"/>
      <c r="M5" s="28"/>
      <c r="N5" s="33"/>
    </row>
    <row r="6" spans="1:14" ht="11.25">
      <c r="A6" s="20"/>
      <c r="B6" s="2"/>
      <c r="C6" s="2"/>
      <c r="D6" s="2"/>
      <c r="E6" s="2"/>
      <c r="F6" s="16" t="s">
        <v>17</v>
      </c>
      <c r="G6" s="323" t="s">
        <v>116</v>
      </c>
      <c r="H6" s="323"/>
      <c r="I6" s="2"/>
      <c r="J6" s="28"/>
      <c r="K6" s="28"/>
      <c r="L6" s="28"/>
      <c r="M6" s="28"/>
      <c r="N6" s="33"/>
    </row>
    <row r="7" spans="1:14" ht="11.25">
      <c r="A7" s="20"/>
      <c r="B7" s="2"/>
      <c r="C7" s="2"/>
      <c r="D7" s="2"/>
      <c r="E7" s="2"/>
      <c r="F7" s="16" t="s">
        <v>33</v>
      </c>
      <c r="G7" s="324" t="s">
        <v>97</v>
      </c>
      <c r="H7" s="325"/>
      <c r="I7" s="2"/>
      <c r="J7" s="28"/>
      <c r="K7" s="28"/>
      <c r="L7" s="28"/>
      <c r="M7" s="28"/>
      <c r="N7" s="33"/>
    </row>
    <row r="8" spans="1:14" ht="11.25">
      <c r="A8" s="20"/>
      <c r="B8" s="2"/>
      <c r="C8" s="2"/>
      <c r="D8" s="2"/>
      <c r="E8" s="2"/>
      <c r="F8" s="16" t="s">
        <v>18</v>
      </c>
      <c r="G8" s="326">
        <v>43922</v>
      </c>
      <c r="H8" s="327"/>
      <c r="I8" s="2"/>
      <c r="J8" s="28"/>
      <c r="K8" s="28"/>
      <c r="L8" s="28"/>
      <c r="M8" s="28"/>
      <c r="N8" s="33"/>
    </row>
    <row r="9" spans="1:14" ht="12.75">
      <c r="A9" s="21" t="s">
        <v>2</v>
      </c>
      <c r="B9" s="22"/>
      <c r="C9" s="4"/>
      <c r="D9" s="4"/>
      <c r="E9" s="3"/>
      <c r="F9" s="3"/>
      <c r="G9" s="319"/>
      <c r="H9" s="319"/>
      <c r="I9" s="3"/>
      <c r="J9" s="319"/>
      <c r="K9" s="319"/>
      <c r="L9" s="3"/>
      <c r="M9" s="319"/>
      <c r="N9" s="320"/>
    </row>
    <row r="10" spans="1:15" ht="12.75">
      <c r="A10" s="20"/>
      <c r="B10" s="22" t="s">
        <v>56</v>
      </c>
      <c r="C10" s="4"/>
      <c r="D10" s="4"/>
      <c r="E10" s="3"/>
      <c r="F10" s="29"/>
      <c r="G10" s="58"/>
      <c r="H10" s="58"/>
      <c r="I10" s="5"/>
      <c r="J10" s="58"/>
      <c r="K10" s="58"/>
      <c r="L10" s="5"/>
      <c r="M10" s="58"/>
      <c r="N10" s="59"/>
      <c r="O10" s="11"/>
    </row>
    <row r="11" spans="1:16" ht="11.25">
      <c r="A11" s="20"/>
      <c r="B11" s="22"/>
      <c r="C11" s="6"/>
      <c r="D11" s="6"/>
      <c r="E11" s="7"/>
      <c r="F11" s="30" t="s">
        <v>7</v>
      </c>
      <c r="G11" s="313">
        <v>10415</v>
      </c>
      <c r="H11" s="314"/>
      <c r="I11" s="5"/>
      <c r="J11" s="313">
        <v>12245</v>
      </c>
      <c r="K11" s="314"/>
      <c r="L11" s="5"/>
      <c r="M11" s="313">
        <v>12127</v>
      </c>
      <c r="N11" s="315"/>
      <c r="P11" s="10" t="s">
        <v>28</v>
      </c>
    </row>
    <row r="12" spans="1:16" ht="12.75">
      <c r="A12" s="20"/>
      <c r="B12" s="22"/>
      <c r="C12" s="4"/>
      <c r="D12" s="4"/>
      <c r="E12" s="3"/>
      <c r="F12" s="29" t="s">
        <v>5</v>
      </c>
      <c r="G12" s="316">
        <v>-0.073</v>
      </c>
      <c r="H12" s="317"/>
      <c r="I12" s="5"/>
      <c r="J12" s="316">
        <v>-0.018</v>
      </c>
      <c r="K12" s="317"/>
      <c r="L12" s="5"/>
      <c r="M12" s="316">
        <v>-0.048</v>
      </c>
      <c r="N12" s="318"/>
      <c r="O12" s="11"/>
      <c r="P12" s="10" t="s">
        <v>29</v>
      </c>
    </row>
    <row r="13" spans="1:16" ht="12.75">
      <c r="A13" s="20"/>
      <c r="B13" s="22"/>
      <c r="C13" s="4"/>
      <c r="D13" s="4"/>
      <c r="E13" s="3"/>
      <c r="F13" s="29" t="s">
        <v>53</v>
      </c>
      <c r="G13" s="313">
        <v>1</v>
      </c>
      <c r="H13" s="314"/>
      <c r="I13" s="5"/>
      <c r="J13" s="313">
        <v>1</v>
      </c>
      <c r="K13" s="314"/>
      <c r="L13" s="5"/>
      <c r="M13" s="313">
        <v>1</v>
      </c>
      <c r="N13" s="315"/>
      <c r="O13" s="11"/>
      <c r="P13" s="10" t="s">
        <v>71</v>
      </c>
    </row>
    <row r="14" spans="1:16" ht="12.75">
      <c r="A14" s="20"/>
      <c r="B14" s="22"/>
      <c r="C14" s="4"/>
      <c r="D14" s="4"/>
      <c r="E14" s="3"/>
      <c r="F14" s="29" t="s">
        <v>54</v>
      </c>
      <c r="G14" s="313">
        <v>27</v>
      </c>
      <c r="H14" s="314"/>
      <c r="I14" s="5"/>
      <c r="J14" s="313">
        <v>23</v>
      </c>
      <c r="K14" s="314"/>
      <c r="L14" s="5"/>
      <c r="M14" s="313">
        <v>20</v>
      </c>
      <c r="N14" s="315"/>
      <c r="O14" s="11"/>
      <c r="P14" s="10" t="s">
        <v>117</v>
      </c>
    </row>
    <row r="15" spans="1:16" ht="12.75">
      <c r="A15" s="20"/>
      <c r="B15" s="22"/>
      <c r="C15" s="4"/>
      <c r="D15" s="4"/>
      <c r="E15" s="3"/>
      <c r="F15" s="29" t="s">
        <v>55</v>
      </c>
      <c r="G15" s="313">
        <v>29</v>
      </c>
      <c r="H15" s="314"/>
      <c r="I15" s="5"/>
      <c r="J15" s="313">
        <v>24</v>
      </c>
      <c r="K15" s="314"/>
      <c r="L15" s="5"/>
      <c r="M15" s="313">
        <v>23</v>
      </c>
      <c r="N15" s="315"/>
      <c r="O15" s="11"/>
      <c r="P15" s="10" t="s">
        <v>69</v>
      </c>
    </row>
    <row r="16" spans="1:16" ht="12.75">
      <c r="A16" s="20"/>
      <c r="B16" s="22"/>
      <c r="C16" s="4"/>
      <c r="D16" s="4"/>
      <c r="E16" s="3"/>
      <c r="F16" s="29" t="s">
        <v>78</v>
      </c>
      <c r="G16" s="313">
        <v>31</v>
      </c>
      <c r="H16" s="314"/>
      <c r="I16" s="5"/>
      <c r="J16" s="313">
        <v>26</v>
      </c>
      <c r="K16" s="314"/>
      <c r="L16" s="5"/>
      <c r="M16" s="313">
        <v>27</v>
      </c>
      <c r="N16" s="315"/>
      <c r="O16" s="11"/>
      <c r="P16" s="10" t="s">
        <v>86</v>
      </c>
    </row>
    <row r="17" spans="1:15" ht="12.75">
      <c r="A17" s="20"/>
      <c r="B17" s="22" t="s">
        <v>57</v>
      </c>
      <c r="C17" s="4"/>
      <c r="D17" s="4"/>
      <c r="E17" s="3"/>
      <c r="F17" s="29"/>
      <c r="G17" s="58"/>
      <c r="H17" s="58"/>
      <c r="I17" s="5"/>
      <c r="J17" s="58"/>
      <c r="K17" s="58"/>
      <c r="L17" s="5"/>
      <c r="M17" s="58"/>
      <c r="N17" s="59"/>
      <c r="O17" s="11"/>
    </row>
    <row r="18" spans="1:16" ht="11.25">
      <c r="A18" s="20"/>
      <c r="B18" s="22"/>
      <c r="C18" s="6"/>
      <c r="D18" s="6"/>
      <c r="E18" s="7"/>
      <c r="F18" s="30" t="s">
        <v>7</v>
      </c>
      <c r="G18" s="313"/>
      <c r="H18" s="314"/>
      <c r="I18" s="5"/>
      <c r="J18" s="313"/>
      <c r="K18" s="314"/>
      <c r="L18" s="5"/>
      <c r="M18" s="313"/>
      <c r="N18" s="315"/>
      <c r="P18" s="10" t="s">
        <v>28</v>
      </c>
    </row>
    <row r="19" spans="1:16" ht="12.75">
      <c r="A19" s="20"/>
      <c r="B19" s="22"/>
      <c r="C19" s="4"/>
      <c r="D19" s="4"/>
      <c r="E19" s="3"/>
      <c r="F19" s="29" t="s">
        <v>5</v>
      </c>
      <c r="G19" s="316"/>
      <c r="H19" s="317"/>
      <c r="I19" s="5"/>
      <c r="J19" s="316"/>
      <c r="K19" s="317"/>
      <c r="L19" s="5"/>
      <c r="M19" s="316"/>
      <c r="N19" s="318"/>
      <c r="O19" s="11"/>
      <c r="P19" s="10" t="s">
        <v>29</v>
      </c>
    </row>
    <row r="20" spans="1:16" ht="12.75">
      <c r="A20" s="20"/>
      <c r="B20" s="22"/>
      <c r="C20" s="4"/>
      <c r="D20" s="4"/>
      <c r="E20" s="3"/>
      <c r="F20" s="29" t="s">
        <v>58</v>
      </c>
      <c r="G20" s="313"/>
      <c r="H20" s="314"/>
      <c r="I20" s="5"/>
      <c r="J20" s="313"/>
      <c r="K20" s="314"/>
      <c r="L20" s="5"/>
      <c r="M20" s="313"/>
      <c r="N20" s="315"/>
      <c r="O20" s="11"/>
      <c r="P20" s="10" t="s">
        <v>71</v>
      </c>
    </row>
    <row r="21" spans="1:16" ht="12.75">
      <c r="A21" s="20"/>
      <c r="B21" s="22"/>
      <c r="C21" s="4"/>
      <c r="D21" s="4"/>
      <c r="E21" s="3"/>
      <c r="F21" s="29" t="s">
        <v>59</v>
      </c>
      <c r="G21" s="313"/>
      <c r="H21" s="314"/>
      <c r="I21" s="5"/>
      <c r="J21" s="313"/>
      <c r="K21" s="314"/>
      <c r="L21" s="5"/>
      <c r="M21" s="313"/>
      <c r="N21" s="315"/>
      <c r="O21" s="11"/>
      <c r="P21" s="10" t="s">
        <v>83</v>
      </c>
    </row>
    <row r="22" spans="1:16" ht="12.75">
      <c r="A22" s="20"/>
      <c r="B22" s="22"/>
      <c r="C22" s="4"/>
      <c r="D22" s="4"/>
      <c r="E22" s="3"/>
      <c r="F22" s="29" t="s">
        <v>78</v>
      </c>
      <c r="G22" s="313"/>
      <c r="H22" s="314"/>
      <c r="I22" s="5"/>
      <c r="J22" s="313"/>
      <c r="K22" s="314"/>
      <c r="L22" s="5"/>
      <c r="M22" s="313"/>
      <c r="N22" s="315"/>
      <c r="O22" s="11"/>
      <c r="P22" s="10" t="s">
        <v>86</v>
      </c>
    </row>
    <row r="23" spans="1:14" ht="11.25">
      <c r="A23" s="20"/>
      <c r="B23" s="4" t="s">
        <v>6</v>
      </c>
      <c r="C23" s="4"/>
      <c r="D23" s="4"/>
      <c r="E23" s="3"/>
      <c r="F23" s="3"/>
      <c r="G23" s="23"/>
      <c r="H23" s="23"/>
      <c r="I23" s="5"/>
      <c r="J23" s="23"/>
      <c r="K23" s="23"/>
      <c r="L23" s="5"/>
      <c r="M23" s="23"/>
      <c r="N23" s="24"/>
    </row>
    <row r="24" spans="1:16" ht="11.25">
      <c r="A24" s="20"/>
      <c r="B24" s="22"/>
      <c r="C24" s="4"/>
      <c r="D24" s="4"/>
      <c r="E24" s="3"/>
      <c r="F24" s="29" t="s">
        <v>20</v>
      </c>
      <c r="G24" s="293">
        <v>0.128</v>
      </c>
      <c r="H24" s="294"/>
      <c r="I24" s="3"/>
      <c r="J24" s="293">
        <v>0.118</v>
      </c>
      <c r="K24" s="294"/>
      <c r="L24" s="3"/>
      <c r="M24" s="293">
        <v>0.108</v>
      </c>
      <c r="N24" s="295"/>
      <c r="P24" s="10" t="s">
        <v>30</v>
      </c>
    </row>
    <row r="25" spans="1:16" ht="11.25">
      <c r="A25" s="20"/>
      <c r="B25" s="22"/>
      <c r="C25" s="4"/>
      <c r="D25" s="4"/>
      <c r="E25" s="3"/>
      <c r="F25" s="29" t="s">
        <v>21</v>
      </c>
      <c r="G25" s="293">
        <v>0.872</v>
      </c>
      <c r="H25" s="294"/>
      <c r="I25" s="3"/>
      <c r="J25" s="293">
        <v>0.882</v>
      </c>
      <c r="K25" s="294"/>
      <c r="L25" s="3"/>
      <c r="M25" s="293">
        <v>0.892</v>
      </c>
      <c r="N25" s="295"/>
      <c r="P25" s="10" t="s">
        <v>31</v>
      </c>
    </row>
    <row r="26" spans="1:14" ht="11.25">
      <c r="A26" s="62" t="s">
        <v>60</v>
      </c>
      <c r="B26" s="22"/>
      <c r="C26" s="4"/>
      <c r="D26" s="4"/>
      <c r="E26" s="3"/>
      <c r="F26" s="29"/>
      <c r="G26" s="60"/>
      <c r="H26" s="60"/>
      <c r="I26" s="5"/>
      <c r="J26" s="60"/>
      <c r="K26" s="60"/>
      <c r="L26" s="5"/>
      <c r="M26" s="60"/>
      <c r="N26" s="61"/>
    </row>
    <row r="27" spans="1:16" ht="11.25">
      <c r="A27" s="20"/>
      <c r="B27" s="22"/>
      <c r="C27" s="4"/>
      <c r="D27" s="4"/>
      <c r="E27" s="3"/>
      <c r="F27" s="29" t="s">
        <v>61</v>
      </c>
      <c r="G27" s="313">
        <f>1135150.78-G28</f>
        <v>1116529.06</v>
      </c>
      <c r="H27" s="314"/>
      <c r="I27" s="5"/>
      <c r="J27" s="313">
        <f>1030225.79-J28</f>
        <v>1012182.39</v>
      </c>
      <c r="K27" s="314"/>
      <c r="L27" s="5"/>
      <c r="M27" s="313">
        <f>845551.73-M28</f>
        <v>828315.75</v>
      </c>
      <c r="N27" s="315"/>
      <c r="P27" s="10" t="s">
        <v>91</v>
      </c>
    </row>
    <row r="28" spans="1:16" ht="11.25">
      <c r="A28" s="20"/>
      <c r="B28" s="22"/>
      <c r="C28" s="4"/>
      <c r="D28" s="4"/>
      <c r="E28" s="3"/>
      <c r="F28" s="29" t="s">
        <v>62</v>
      </c>
      <c r="G28" s="313">
        <v>18621.72</v>
      </c>
      <c r="H28" s="314"/>
      <c r="I28" s="5"/>
      <c r="J28" s="313">
        <v>18043.4</v>
      </c>
      <c r="K28" s="314"/>
      <c r="L28" s="5"/>
      <c r="M28" s="313">
        <v>17235.98</v>
      </c>
      <c r="N28" s="315"/>
      <c r="P28" s="10" t="s">
        <v>91</v>
      </c>
    </row>
    <row r="29" spans="1:16" ht="11.25">
      <c r="A29" s="20"/>
      <c r="B29" s="22"/>
      <c r="C29" s="4"/>
      <c r="D29" s="4"/>
      <c r="E29" s="3"/>
      <c r="F29" s="29" t="s">
        <v>63</v>
      </c>
      <c r="G29" s="310">
        <v>321915.54</v>
      </c>
      <c r="H29" s="311"/>
      <c r="I29" s="5"/>
      <c r="J29" s="310">
        <v>293600.28</v>
      </c>
      <c r="K29" s="311"/>
      <c r="L29" s="5"/>
      <c r="M29" s="310">
        <v>246418.91</v>
      </c>
      <c r="N29" s="312"/>
      <c r="P29" s="10" t="s">
        <v>90</v>
      </c>
    </row>
    <row r="30" spans="1:14" ht="11.25">
      <c r="A30" s="20"/>
      <c r="B30" s="22"/>
      <c r="C30" s="4"/>
      <c r="D30" s="4"/>
      <c r="E30" s="3"/>
      <c r="F30" s="29"/>
      <c r="G30" s="73"/>
      <c r="H30" s="74"/>
      <c r="I30" s="5"/>
      <c r="J30" s="73"/>
      <c r="K30" s="74"/>
      <c r="L30" s="5"/>
      <c r="M30" s="73"/>
      <c r="N30" s="75"/>
    </row>
    <row r="31" spans="1:18" ht="11.25">
      <c r="A31" s="20"/>
      <c r="B31" s="4"/>
      <c r="C31" s="4"/>
      <c r="D31" s="4"/>
      <c r="E31" s="3"/>
      <c r="F31" s="63" t="s">
        <v>64</v>
      </c>
      <c r="G31" s="299">
        <f>SUM(G27:H29)/(G11+G18)</f>
        <v>139.90075084013444</v>
      </c>
      <c r="H31" s="300"/>
      <c r="I31" s="22"/>
      <c r="J31" s="299">
        <f>SUM(J27:K29)/(J11+J18)</f>
        <v>108.11156145365456</v>
      </c>
      <c r="K31" s="300"/>
      <c r="L31" s="22"/>
      <c r="M31" s="299">
        <f>SUM(M27:N29)/(M11+M18)</f>
        <v>90.04458151232785</v>
      </c>
      <c r="N31" s="301"/>
      <c r="O31"/>
      <c r="P31" t="s">
        <v>32</v>
      </c>
      <c r="Q31"/>
      <c r="R31"/>
    </row>
    <row r="32" spans="1:14" ht="11.25">
      <c r="A32" s="21" t="s">
        <v>3</v>
      </c>
      <c r="B32" s="22"/>
      <c r="C32" s="4"/>
      <c r="D32" s="4"/>
      <c r="E32" s="3"/>
      <c r="F32" s="3"/>
      <c r="G32" s="8"/>
      <c r="H32" s="8"/>
      <c r="I32" s="3"/>
      <c r="J32" s="8"/>
      <c r="K32" s="8"/>
      <c r="L32" s="3"/>
      <c r="M32" s="8"/>
      <c r="N32" s="25"/>
    </row>
    <row r="33" spans="1:22" ht="11.25">
      <c r="A33" s="20"/>
      <c r="B33" s="22"/>
      <c r="C33" s="4"/>
      <c r="D33" s="48"/>
      <c r="E33" s="49"/>
      <c r="F33" s="50" t="s">
        <v>43</v>
      </c>
      <c r="G33" s="302">
        <f>4.9+1.3</f>
        <v>6.2</v>
      </c>
      <c r="H33" s="303"/>
      <c r="I33" s="56"/>
      <c r="J33" s="302">
        <f>3.3+2.9</f>
        <v>6.199999999999999</v>
      </c>
      <c r="K33" s="303"/>
      <c r="L33" s="56"/>
      <c r="M33" s="302">
        <f>3.4+2.4</f>
        <v>5.8</v>
      </c>
      <c r="N33" s="304"/>
      <c r="O33"/>
      <c r="P33" s="46" t="s">
        <v>47</v>
      </c>
      <c r="Q33" s="47"/>
      <c r="R33" s="47"/>
      <c r="S33" s="46"/>
      <c r="T33" s="46"/>
      <c r="U33" s="46"/>
      <c r="V33" s="46"/>
    </row>
    <row r="34" spans="1:22" ht="11.25">
      <c r="A34" s="20"/>
      <c r="B34" s="22"/>
      <c r="C34" s="4"/>
      <c r="D34" s="48"/>
      <c r="E34" s="49"/>
      <c r="F34" s="50" t="s">
        <v>44</v>
      </c>
      <c r="G34" s="302">
        <v>3</v>
      </c>
      <c r="H34" s="303"/>
      <c r="I34" s="56"/>
      <c r="J34" s="302">
        <v>3</v>
      </c>
      <c r="K34" s="303"/>
      <c r="L34" s="56"/>
      <c r="M34" s="302">
        <v>3</v>
      </c>
      <c r="N34" s="304"/>
      <c r="O34"/>
      <c r="P34" s="46" t="s">
        <v>48</v>
      </c>
      <c r="Q34" s="47"/>
      <c r="R34" s="47"/>
      <c r="S34" s="46"/>
      <c r="T34" s="46"/>
      <c r="U34" s="46"/>
      <c r="V34" s="46"/>
    </row>
    <row r="35" spans="1:22" ht="11.25">
      <c r="A35" s="20"/>
      <c r="B35" s="22"/>
      <c r="C35" s="4"/>
      <c r="D35" s="48"/>
      <c r="E35" s="49"/>
      <c r="F35" s="50" t="s">
        <v>45</v>
      </c>
      <c r="G35" s="307">
        <v>0</v>
      </c>
      <c r="H35" s="308"/>
      <c r="I35" s="56"/>
      <c r="J35" s="307">
        <v>0</v>
      </c>
      <c r="K35" s="308"/>
      <c r="L35" s="56"/>
      <c r="M35" s="307">
        <v>0</v>
      </c>
      <c r="N35" s="309"/>
      <c r="O35"/>
      <c r="P35" s="46" t="s">
        <v>50</v>
      </c>
      <c r="Q35" s="47"/>
      <c r="R35" s="47"/>
      <c r="S35" s="46"/>
      <c r="T35" s="46"/>
      <c r="U35" s="46"/>
      <c r="V35" s="46"/>
    </row>
    <row r="36" spans="1:22" ht="11.25">
      <c r="A36" s="20"/>
      <c r="B36" s="22"/>
      <c r="C36" s="4"/>
      <c r="D36" s="48"/>
      <c r="E36" s="49"/>
      <c r="F36" s="50" t="s">
        <v>46</v>
      </c>
      <c r="G36" s="305">
        <v>0</v>
      </c>
      <c r="H36" s="305"/>
      <c r="I36" s="56"/>
      <c r="J36" s="305">
        <v>0</v>
      </c>
      <c r="K36" s="305"/>
      <c r="L36" s="56"/>
      <c r="M36" s="305">
        <v>0</v>
      </c>
      <c r="N36" s="306"/>
      <c r="O36"/>
      <c r="P36" s="46" t="s">
        <v>49</v>
      </c>
      <c r="Q36" s="47"/>
      <c r="R36" s="47"/>
      <c r="S36" s="46"/>
      <c r="T36" s="46"/>
      <c r="U36" s="46"/>
      <c r="V36" s="46"/>
    </row>
    <row r="37" spans="1:18" s="69" customFormat="1" ht="11.25">
      <c r="A37" s="64"/>
      <c r="B37" s="65"/>
      <c r="C37" s="66"/>
      <c r="D37" s="66"/>
      <c r="E37" s="5"/>
      <c r="F37" s="67"/>
      <c r="G37" s="70"/>
      <c r="H37" s="70"/>
      <c r="I37" s="68"/>
      <c r="J37" s="70"/>
      <c r="K37" s="70"/>
      <c r="L37" s="68"/>
      <c r="M37" s="70"/>
      <c r="N37" s="71"/>
      <c r="O37" s="12"/>
      <c r="Q37" s="12"/>
      <c r="R37" s="12"/>
    </row>
    <row r="38" spans="1:22" ht="11.25">
      <c r="A38" s="20"/>
      <c r="B38" s="22"/>
      <c r="C38" s="4"/>
      <c r="D38" s="48"/>
      <c r="E38" s="49"/>
      <c r="F38" s="50" t="s">
        <v>66</v>
      </c>
      <c r="G38" s="305">
        <f>4490+1220</f>
        <v>5710</v>
      </c>
      <c r="H38" s="305"/>
      <c r="I38" s="56"/>
      <c r="J38" s="305">
        <f>2879+4085</f>
        <v>6964</v>
      </c>
      <c r="K38" s="305"/>
      <c r="L38" s="56"/>
      <c r="M38" s="305">
        <f>2224+4210</f>
        <v>6434</v>
      </c>
      <c r="N38" s="306"/>
      <c r="O38"/>
      <c r="P38" s="46" t="s">
        <v>72</v>
      </c>
      <c r="Q38" s="47"/>
      <c r="R38" s="47"/>
      <c r="S38" s="46"/>
      <c r="T38" s="46"/>
      <c r="U38" s="46"/>
      <c r="V38" s="46"/>
    </row>
    <row r="39" spans="1:22" ht="11.25">
      <c r="A39" s="20"/>
      <c r="B39" s="22"/>
      <c r="C39" s="4"/>
      <c r="D39" s="48"/>
      <c r="E39" s="49"/>
      <c r="F39" s="50" t="s">
        <v>65</v>
      </c>
      <c r="G39" s="299">
        <f>955+3785</f>
        <v>4740</v>
      </c>
      <c r="H39" s="300"/>
      <c r="I39" s="56"/>
      <c r="J39" s="299">
        <f>4140+1037</f>
        <v>5177</v>
      </c>
      <c r="K39" s="300"/>
      <c r="L39" s="56"/>
      <c r="M39" s="299">
        <f>1753+3860</f>
        <v>5613</v>
      </c>
      <c r="N39" s="301"/>
      <c r="O39"/>
      <c r="P39" s="46" t="s">
        <v>73</v>
      </c>
      <c r="Q39" s="47"/>
      <c r="R39" s="47"/>
      <c r="S39" s="46"/>
      <c r="T39" s="46"/>
      <c r="U39" s="46"/>
      <c r="V39" s="46"/>
    </row>
    <row r="40" spans="1:22" ht="11.25">
      <c r="A40" s="20"/>
      <c r="B40" s="22"/>
      <c r="C40" s="4"/>
      <c r="D40" s="48"/>
      <c r="E40" s="49"/>
      <c r="F40" s="50" t="s">
        <v>67</v>
      </c>
      <c r="G40" s="302">
        <v>0</v>
      </c>
      <c r="H40" s="303"/>
      <c r="I40" s="56"/>
      <c r="J40" s="302">
        <v>0</v>
      </c>
      <c r="K40" s="303"/>
      <c r="L40" s="56"/>
      <c r="M40" s="302">
        <v>0</v>
      </c>
      <c r="N40" s="304"/>
      <c r="O40"/>
      <c r="P40" s="46" t="s">
        <v>75</v>
      </c>
      <c r="Q40" s="47"/>
      <c r="R40" s="47"/>
      <c r="S40" s="46"/>
      <c r="T40" s="46"/>
      <c r="U40" s="46"/>
      <c r="V40" s="46"/>
    </row>
    <row r="41" spans="1:22" ht="11.25">
      <c r="A41" s="20"/>
      <c r="B41" s="22"/>
      <c r="C41" s="4"/>
      <c r="D41" s="48"/>
      <c r="E41" s="49"/>
      <c r="F41" s="50" t="s">
        <v>68</v>
      </c>
      <c r="G41" s="302">
        <v>0</v>
      </c>
      <c r="H41" s="303"/>
      <c r="I41" s="56"/>
      <c r="J41" s="302">
        <v>0</v>
      </c>
      <c r="K41" s="303"/>
      <c r="L41" s="56"/>
      <c r="M41" s="302">
        <v>0</v>
      </c>
      <c r="N41" s="304"/>
      <c r="O41"/>
      <c r="P41" s="46" t="s">
        <v>74</v>
      </c>
      <c r="Q41" s="47"/>
      <c r="R41" s="47"/>
      <c r="S41" s="46"/>
      <c r="T41" s="46"/>
      <c r="U41" s="46"/>
      <c r="V41" s="46"/>
    </row>
    <row r="42" spans="1:18" ht="11.25">
      <c r="A42" s="20"/>
      <c r="B42" s="4"/>
      <c r="C42" s="4"/>
      <c r="D42" s="4"/>
      <c r="E42" s="3"/>
      <c r="F42" s="3"/>
      <c r="G42" s="9"/>
      <c r="H42" s="9"/>
      <c r="I42" s="22"/>
      <c r="J42" s="9"/>
      <c r="K42" s="9"/>
      <c r="L42" s="22"/>
      <c r="M42" s="9"/>
      <c r="N42" s="26"/>
      <c r="O42"/>
      <c r="P42"/>
      <c r="Q42"/>
      <c r="R42"/>
    </row>
    <row r="43" spans="1:18" ht="11.25">
      <c r="A43" s="20"/>
      <c r="B43" s="22"/>
      <c r="C43" s="4"/>
      <c r="D43" s="4"/>
      <c r="E43" s="3"/>
      <c r="F43" s="29" t="s">
        <v>22</v>
      </c>
      <c r="G43" s="302">
        <f>+(G11+G18)/(G33+G34)</f>
        <v>1132.0652173913045</v>
      </c>
      <c r="H43" s="303"/>
      <c r="I43" s="22"/>
      <c r="J43" s="302">
        <f>+(J11+J18)/(J33+J34)</f>
        <v>1330.9782608695652</v>
      </c>
      <c r="K43" s="303"/>
      <c r="L43" s="22"/>
      <c r="M43" s="302">
        <f>+(M11+M18)/(M33+M34)</f>
        <v>1378.0681818181818</v>
      </c>
      <c r="N43" s="303"/>
      <c r="O43"/>
      <c r="P43" t="s">
        <v>32</v>
      </c>
      <c r="Q43"/>
      <c r="R43"/>
    </row>
    <row r="44" spans="1:18" ht="11.25">
      <c r="A44" s="20"/>
      <c r="B44" s="22"/>
      <c r="C44" s="4"/>
      <c r="D44" s="4"/>
      <c r="E44" s="3"/>
      <c r="F44" s="29" t="s">
        <v>216</v>
      </c>
      <c r="G44" s="332">
        <f>(G11+G18)/SUM(G33:H36)</f>
        <v>1132.0652173913045</v>
      </c>
      <c r="H44" s="332"/>
      <c r="I44" s="22"/>
      <c r="J44" s="332">
        <f>(J11+J18)/SUM(J33:K36)</f>
        <v>1330.9782608695652</v>
      </c>
      <c r="K44" s="332"/>
      <c r="L44" s="22"/>
      <c r="M44" s="332">
        <f>(M11+M18)/SUM(M33:N36)</f>
        <v>1378.0681818181818</v>
      </c>
      <c r="N44" s="332"/>
      <c r="O44"/>
      <c r="P44"/>
      <c r="Q44"/>
      <c r="R44"/>
    </row>
    <row r="45" spans="1:17" ht="11.25">
      <c r="A45" s="20"/>
      <c r="B45" s="4"/>
      <c r="C45" s="4"/>
      <c r="D45" s="4"/>
      <c r="E45" s="3"/>
      <c r="F45" s="3"/>
      <c r="G45" s="34" t="s">
        <v>24</v>
      </c>
      <c r="H45" s="34" t="s">
        <v>23</v>
      </c>
      <c r="I45" s="28"/>
      <c r="J45" s="34" t="s">
        <v>24</v>
      </c>
      <c r="K45" s="34" t="s">
        <v>23</v>
      </c>
      <c r="L45" s="28"/>
      <c r="M45" s="34" t="s">
        <v>24</v>
      </c>
      <c r="N45" s="35" t="s">
        <v>23</v>
      </c>
      <c r="O45" s="14"/>
      <c r="P45" s="13"/>
      <c r="Q45" s="31"/>
    </row>
    <row r="46" spans="1:22" ht="11.25">
      <c r="A46" s="20"/>
      <c r="B46" s="4"/>
      <c r="C46" s="4"/>
      <c r="D46" s="52"/>
      <c r="E46" s="53"/>
      <c r="F46" s="54" t="s">
        <v>25</v>
      </c>
      <c r="G46" s="76">
        <v>9</v>
      </c>
      <c r="H46" s="32">
        <f>G46/SUM($G$46:$G$49)</f>
        <v>0.75</v>
      </c>
      <c r="I46" s="28"/>
      <c r="J46" s="76">
        <v>8</v>
      </c>
      <c r="K46" s="32">
        <f>J46/SUM($J$46:$J$49)</f>
        <v>0.7272727272727273</v>
      </c>
      <c r="L46" s="28"/>
      <c r="M46" s="76">
        <v>7</v>
      </c>
      <c r="N46" s="36">
        <f>M46/SUM($M$46:$M$49)</f>
        <v>0.7</v>
      </c>
      <c r="O46" s="14"/>
      <c r="P46" s="55" t="s">
        <v>84</v>
      </c>
      <c r="Q46" s="51"/>
      <c r="R46" s="55"/>
      <c r="S46" s="55"/>
      <c r="T46" s="55"/>
      <c r="U46" s="55"/>
      <c r="V46" s="55"/>
    </row>
    <row r="47" spans="1:22" ht="11.25">
      <c r="A47" s="20"/>
      <c r="B47" s="4"/>
      <c r="C47" s="4"/>
      <c r="D47" s="52"/>
      <c r="E47" s="53"/>
      <c r="F47" s="54" t="s">
        <v>13</v>
      </c>
      <c r="G47" s="76">
        <v>3</v>
      </c>
      <c r="H47" s="32">
        <f aca="true" t="shared" si="0" ref="H47:H49">G47/SUM($G$46:$G$49)</f>
        <v>0.25</v>
      </c>
      <c r="I47" s="28"/>
      <c r="J47" s="76">
        <v>3</v>
      </c>
      <c r="K47" s="32">
        <f aca="true" t="shared" si="1" ref="K47:K49">J47/SUM($J$46:$J$49)</f>
        <v>0.2727272727272727</v>
      </c>
      <c r="L47" s="28"/>
      <c r="M47" s="76">
        <v>3</v>
      </c>
      <c r="N47" s="36">
        <f aca="true" t="shared" si="2" ref="N47:N49">M47/SUM($M$46:$M$49)</f>
        <v>0.3</v>
      </c>
      <c r="O47" s="14"/>
      <c r="P47" s="55" t="s">
        <v>84</v>
      </c>
      <c r="Q47" s="51"/>
      <c r="R47" s="55"/>
      <c r="S47" s="55"/>
      <c r="T47" s="55"/>
      <c r="U47" s="55"/>
      <c r="V47" s="55"/>
    </row>
    <row r="48" spans="1:22" ht="11.25">
      <c r="A48" s="20"/>
      <c r="B48" s="4"/>
      <c r="C48" s="4"/>
      <c r="D48" s="52"/>
      <c r="E48" s="53"/>
      <c r="F48" s="54" t="s">
        <v>51</v>
      </c>
      <c r="G48" s="76">
        <v>0</v>
      </c>
      <c r="H48" s="32">
        <f t="shared" si="0"/>
        <v>0</v>
      </c>
      <c r="I48" s="28"/>
      <c r="J48" s="76">
        <v>0</v>
      </c>
      <c r="K48" s="32">
        <f t="shared" si="1"/>
        <v>0</v>
      </c>
      <c r="L48" s="28"/>
      <c r="M48" s="76">
        <v>0</v>
      </c>
      <c r="N48" s="36">
        <f t="shared" si="2"/>
        <v>0</v>
      </c>
      <c r="O48" s="14"/>
      <c r="P48" s="55" t="s">
        <v>85</v>
      </c>
      <c r="Q48" s="51"/>
      <c r="R48" s="55"/>
      <c r="S48" s="55"/>
      <c r="T48" s="55"/>
      <c r="U48" s="55"/>
      <c r="V48" s="55"/>
    </row>
    <row r="49" spans="1:22" ht="11.25">
      <c r="A49" s="20"/>
      <c r="B49" s="4"/>
      <c r="C49" s="4"/>
      <c r="D49" s="52"/>
      <c r="E49" s="53"/>
      <c r="F49" s="54" t="s">
        <v>52</v>
      </c>
      <c r="G49" s="76">
        <v>0</v>
      </c>
      <c r="H49" s="32">
        <f t="shared" si="0"/>
        <v>0</v>
      </c>
      <c r="I49" s="28"/>
      <c r="J49" s="76">
        <v>0</v>
      </c>
      <c r="K49" s="32">
        <f t="shared" si="1"/>
        <v>0</v>
      </c>
      <c r="L49" s="28"/>
      <c r="M49" s="76">
        <v>0</v>
      </c>
      <c r="N49" s="36">
        <f t="shared" si="2"/>
        <v>0</v>
      </c>
      <c r="O49" s="14"/>
      <c r="P49" s="55" t="s">
        <v>85</v>
      </c>
      <c r="Q49" s="51"/>
      <c r="R49" s="55"/>
      <c r="S49" s="55"/>
      <c r="T49" s="55"/>
      <c r="U49" s="55"/>
      <c r="V49" s="55"/>
    </row>
    <row r="50" spans="1:14" ht="11.25">
      <c r="A50" s="21" t="s">
        <v>4</v>
      </c>
      <c r="B50" s="22"/>
      <c r="C50" s="4"/>
      <c r="D50" s="4"/>
      <c r="E50" s="3"/>
      <c r="F50" s="3"/>
      <c r="G50" s="8"/>
      <c r="H50" s="8"/>
      <c r="I50" s="3"/>
      <c r="J50" s="8"/>
      <c r="K50" s="8"/>
      <c r="L50" s="3"/>
      <c r="M50" s="8"/>
      <c r="N50" s="25"/>
    </row>
    <row r="51" spans="1:16" ht="11.25">
      <c r="A51" s="21"/>
      <c r="B51" s="22"/>
      <c r="C51" s="4"/>
      <c r="D51" s="4"/>
      <c r="E51" s="3"/>
      <c r="F51" s="63" t="s">
        <v>77</v>
      </c>
      <c r="G51" s="293">
        <v>0.875</v>
      </c>
      <c r="H51" s="294"/>
      <c r="I51" s="72"/>
      <c r="J51" s="293">
        <v>0.829</v>
      </c>
      <c r="K51" s="294"/>
      <c r="L51" s="72"/>
      <c r="M51" s="293">
        <v>0.836</v>
      </c>
      <c r="N51" s="295"/>
      <c r="P51" s="10" t="s">
        <v>87</v>
      </c>
    </row>
    <row r="52" spans="1:16" ht="11.25">
      <c r="A52" s="21"/>
      <c r="B52" s="22"/>
      <c r="C52" s="4"/>
      <c r="D52" s="4"/>
      <c r="E52" s="3"/>
      <c r="F52" s="63" t="s">
        <v>76</v>
      </c>
      <c r="G52" s="293">
        <v>0.128</v>
      </c>
      <c r="H52" s="294"/>
      <c r="I52" s="72"/>
      <c r="J52" s="293">
        <v>0.148</v>
      </c>
      <c r="K52" s="294"/>
      <c r="L52" s="72"/>
      <c r="M52" s="293">
        <v>0.134</v>
      </c>
      <c r="N52" s="295"/>
      <c r="P52" s="10" t="s">
        <v>79</v>
      </c>
    </row>
    <row r="53" spans="1:16" ht="11" customHeight="1">
      <c r="A53" s="20"/>
      <c r="B53" s="23"/>
      <c r="C53" s="4"/>
      <c r="D53" s="4"/>
      <c r="E53" s="3"/>
      <c r="F53" s="29" t="s">
        <v>10</v>
      </c>
      <c r="G53" s="296">
        <v>5</v>
      </c>
      <c r="H53" s="297"/>
      <c r="I53" s="3"/>
      <c r="J53" s="296">
        <v>7</v>
      </c>
      <c r="K53" s="297"/>
      <c r="L53" s="3"/>
      <c r="M53" s="296">
        <v>6</v>
      </c>
      <c r="N53" s="298"/>
      <c r="P53" s="10" t="s">
        <v>34</v>
      </c>
    </row>
    <row r="54" spans="1:16" ht="11.25">
      <c r="A54" s="20"/>
      <c r="B54" s="23"/>
      <c r="C54" s="4"/>
      <c r="D54" s="4"/>
      <c r="E54" s="3"/>
      <c r="F54" s="29" t="s">
        <v>8</v>
      </c>
      <c r="G54" s="296">
        <v>31</v>
      </c>
      <c r="H54" s="297"/>
      <c r="I54" s="14"/>
      <c r="J54" s="296">
        <v>33</v>
      </c>
      <c r="K54" s="297"/>
      <c r="L54" s="14"/>
      <c r="M54" s="296">
        <v>31</v>
      </c>
      <c r="N54" s="298"/>
      <c r="P54" s="10" t="s">
        <v>36</v>
      </c>
    </row>
    <row r="55" spans="1:16" ht="11.25">
      <c r="A55" s="20"/>
      <c r="B55" s="23"/>
      <c r="C55" s="4"/>
      <c r="D55" s="4"/>
      <c r="E55" s="3"/>
      <c r="F55" s="42" t="s">
        <v>11</v>
      </c>
      <c r="G55" s="296">
        <v>29.4</v>
      </c>
      <c r="H55" s="297"/>
      <c r="I55" s="3"/>
      <c r="J55" s="296">
        <v>31</v>
      </c>
      <c r="K55" s="297"/>
      <c r="L55" s="3"/>
      <c r="M55" s="296">
        <v>29.2</v>
      </c>
      <c r="N55" s="298"/>
      <c r="P55" s="10" t="s">
        <v>42</v>
      </c>
    </row>
    <row r="56" spans="1:19" ht="11.25">
      <c r="A56" s="20"/>
      <c r="B56" s="22"/>
      <c r="C56" s="4"/>
      <c r="D56" s="4"/>
      <c r="E56" s="3"/>
      <c r="F56" s="29" t="s">
        <v>9</v>
      </c>
      <c r="G56" s="293">
        <v>0.86</v>
      </c>
      <c r="H56" s="294"/>
      <c r="I56" s="3"/>
      <c r="J56" s="293">
        <v>0.83</v>
      </c>
      <c r="K56" s="294"/>
      <c r="L56" s="3"/>
      <c r="M56" s="293">
        <v>0.8</v>
      </c>
      <c r="N56" s="295"/>
      <c r="P56" s="10" t="s">
        <v>37</v>
      </c>
      <c r="Q56"/>
      <c r="R56"/>
      <c r="S56"/>
    </row>
    <row r="57" spans="1:19" ht="11.25">
      <c r="A57" s="20"/>
      <c r="B57" s="22"/>
      <c r="C57" s="4"/>
      <c r="D57" s="4"/>
      <c r="E57" s="27"/>
      <c r="F57" s="29" t="s">
        <v>12</v>
      </c>
      <c r="G57" s="296">
        <v>0</v>
      </c>
      <c r="H57" s="297"/>
      <c r="I57" s="28"/>
      <c r="J57" s="296">
        <v>2</v>
      </c>
      <c r="K57" s="297"/>
      <c r="L57" s="28"/>
      <c r="M57" s="296">
        <v>2</v>
      </c>
      <c r="N57" s="298"/>
      <c r="P57" s="10" t="s">
        <v>38</v>
      </c>
      <c r="Q57"/>
      <c r="R57"/>
      <c r="S57"/>
    </row>
    <row r="58" spans="1:19" ht="11.25">
      <c r="A58" s="20"/>
      <c r="B58" s="22"/>
      <c r="C58" s="4"/>
      <c r="D58" s="4"/>
      <c r="E58" s="3"/>
      <c r="F58" s="29" t="s">
        <v>19</v>
      </c>
      <c r="G58" s="293">
        <v>0.045</v>
      </c>
      <c r="H58" s="294"/>
      <c r="I58" s="28"/>
      <c r="J58" s="293">
        <v>0.057</v>
      </c>
      <c r="K58" s="294"/>
      <c r="L58" s="28"/>
      <c r="M58" s="293">
        <v>0.06</v>
      </c>
      <c r="N58" s="295"/>
      <c r="P58" s="10" t="s">
        <v>39</v>
      </c>
      <c r="Q58"/>
      <c r="R58"/>
      <c r="S58"/>
    </row>
    <row r="59" spans="1:19" ht="11.25">
      <c r="A59" s="20"/>
      <c r="B59" s="22"/>
      <c r="C59" s="4"/>
      <c r="D59" s="4"/>
      <c r="E59" s="3"/>
      <c r="F59" s="29" t="s">
        <v>0</v>
      </c>
      <c r="G59" s="293">
        <v>-0.043</v>
      </c>
      <c r="H59" s="294"/>
      <c r="I59" s="28"/>
      <c r="J59" s="293">
        <v>0.072</v>
      </c>
      <c r="K59" s="294"/>
      <c r="L59" s="28"/>
      <c r="M59" s="293">
        <v>0.095</v>
      </c>
      <c r="N59" s="295"/>
      <c r="P59" s="10" t="s">
        <v>40</v>
      </c>
      <c r="Q59"/>
      <c r="R59"/>
      <c r="S59"/>
    </row>
    <row r="60" spans="1:14" ht="11.25">
      <c r="A60" s="21" t="s">
        <v>1</v>
      </c>
      <c r="B60" s="28"/>
      <c r="C60" s="28"/>
      <c r="D60" s="28"/>
      <c r="E60" s="28"/>
      <c r="F60" s="28"/>
      <c r="G60" s="28"/>
      <c r="H60" s="28"/>
      <c r="I60" s="28"/>
      <c r="J60" s="28"/>
      <c r="K60" s="28"/>
      <c r="L60" s="28"/>
      <c r="M60" s="28"/>
      <c r="N60" s="33"/>
    </row>
    <row r="61" spans="1:16" ht="11.25">
      <c r="A61" s="37"/>
      <c r="B61" s="28"/>
      <c r="C61" s="28"/>
      <c r="D61" s="28"/>
      <c r="E61" s="28"/>
      <c r="F61" s="28"/>
      <c r="G61" s="28"/>
      <c r="H61" s="28"/>
      <c r="I61" s="28"/>
      <c r="J61" s="28"/>
      <c r="K61" s="28"/>
      <c r="L61" s="28"/>
      <c r="M61" s="28"/>
      <c r="N61" s="33"/>
      <c r="P61" t="s">
        <v>35</v>
      </c>
    </row>
    <row r="62" spans="1:14" ht="11.25">
      <c r="A62" s="38"/>
      <c r="B62" s="23"/>
      <c r="C62" s="23"/>
      <c r="D62" s="23"/>
      <c r="E62" s="23"/>
      <c r="F62" s="23"/>
      <c r="G62" s="23"/>
      <c r="H62" s="23"/>
      <c r="I62" s="23"/>
      <c r="J62" s="23"/>
      <c r="K62" s="23"/>
      <c r="L62" s="23"/>
      <c r="M62" s="23"/>
      <c r="N62" s="24"/>
    </row>
    <row r="63" spans="1:14" ht="11.25">
      <c r="A63" s="38"/>
      <c r="B63" s="23"/>
      <c r="C63" s="23"/>
      <c r="D63" s="23"/>
      <c r="E63" s="23"/>
      <c r="F63" s="23"/>
      <c r="G63" s="23"/>
      <c r="H63" s="23"/>
      <c r="I63" s="23"/>
      <c r="J63" s="23"/>
      <c r="K63" s="23"/>
      <c r="L63" s="23"/>
      <c r="M63" s="23"/>
      <c r="N63" s="24"/>
    </row>
    <row r="64" spans="1:16" ht="11.25">
      <c r="A64" s="38"/>
      <c r="B64" s="23"/>
      <c r="C64" s="23"/>
      <c r="D64" s="23"/>
      <c r="E64" s="23"/>
      <c r="F64" s="23"/>
      <c r="G64" s="23"/>
      <c r="H64" s="23"/>
      <c r="I64" s="23"/>
      <c r="J64" s="23"/>
      <c r="K64" s="23"/>
      <c r="L64" s="23"/>
      <c r="M64" s="23"/>
      <c r="N64" s="24"/>
      <c r="P64" s="44" t="s">
        <v>41</v>
      </c>
    </row>
    <row r="65" spans="1:14" ht="11.25">
      <c r="A65" s="38"/>
      <c r="B65" s="23"/>
      <c r="C65" s="23"/>
      <c r="D65" s="23"/>
      <c r="E65" s="23"/>
      <c r="F65" s="23"/>
      <c r="G65" s="23"/>
      <c r="H65" s="23"/>
      <c r="I65" s="23"/>
      <c r="J65" s="23"/>
      <c r="K65" s="23"/>
      <c r="L65" s="23"/>
      <c r="M65" s="23"/>
      <c r="N65" s="24"/>
    </row>
    <row r="66" spans="1:14" ht="12.75" thickBot="1">
      <c r="A66" s="39"/>
      <c r="B66" s="40"/>
      <c r="C66" s="40"/>
      <c r="D66" s="40"/>
      <c r="E66" s="40"/>
      <c r="F66" s="40"/>
      <c r="G66" s="40"/>
      <c r="H66" s="40"/>
      <c r="I66" s="40"/>
      <c r="J66" s="40"/>
      <c r="K66" s="40"/>
      <c r="L66" s="40"/>
      <c r="M66" s="40"/>
      <c r="N66" s="41"/>
    </row>
  </sheetData>
  <mergeCells count="122">
    <mergeCell ref="G5:H5"/>
    <mergeCell ref="G6:H6"/>
    <mergeCell ref="G7:H7"/>
    <mergeCell ref="G8:H8"/>
    <mergeCell ref="G9:H9"/>
    <mergeCell ref="J9:K9"/>
    <mergeCell ref="G2:N2"/>
    <mergeCell ref="G3:H3"/>
    <mergeCell ref="J3:K3"/>
    <mergeCell ref="M3:N3"/>
    <mergeCell ref="G4:H4"/>
    <mergeCell ref="J4:K4"/>
    <mergeCell ref="M4:N4"/>
    <mergeCell ref="G13:H13"/>
    <mergeCell ref="J13:K13"/>
    <mergeCell ref="M13:N13"/>
    <mergeCell ref="G14:H14"/>
    <mergeCell ref="J14:K14"/>
    <mergeCell ref="M14:N14"/>
    <mergeCell ref="M9:N9"/>
    <mergeCell ref="G11:H11"/>
    <mergeCell ref="J11:K11"/>
    <mergeCell ref="M11:N11"/>
    <mergeCell ref="G12:H12"/>
    <mergeCell ref="J12:K12"/>
    <mergeCell ref="M12:N12"/>
    <mergeCell ref="G18:H18"/>
    <mergeCell ref="J18:K18"/>
    <mergeCell ref="M18:N18"/>
    <mergeCell ref="G19:H19"/>
    <mergeCell ref="J19:K19"/>
    <mergeCell ref="M19:N19"/>
    <mergeCell ref="G15:H15"/>
    <mergeCell ref="J15:K15"/>
    <mergeCell ref="M15:N15"/>
    <mergeCell ref="G16:H16"/>
    <mergeCell ref="J16:K16"/>
    <mergeCell ref="M16:N16"/>
    <mergeCell ref="G22:H22"/>
    <mergeCell ref="J22:K22"/>
    <mergeCell ref="M22:N22"/>
    <mergeCell ref="G24:H24"/>
    <mergeCell ref="J24:K24"/>
    <mergeCell ref="M24:N24"/>
    <mergeCell ref="G20:H20"/>
    <mergeCell ref="J20:K20"/>
    <mergeCell ref="M20:N20"/>
    <mergeCell ref="G21:H21"/>
    <mergeCell ref="J21:K21"/>
    <mergeCell ref="M21:N21"/>
    <mergeCell ref="G28:H28"/>
    <mergeCell ref="J28:K28"/>
    <mergeCell ref="M28:N28"/>
    <mergeCell ref="G29:H29"/>
    <mergeCell ref="J29:K29"/>
    <mergeCell ref="M29:N29"/>
    <mergeCell ref="G25:H25"/>
    <mergeCell ref="J25:K25"/>
    <mergeCell ref="M25:N25"/>
    <mergeCell ref="G27:H27"/>
    <mergeCell ref="J27:K27"/>
    <mergeCell ref="M27:N27"/>
    <mergeCell ref="G34:H34"/>
    <mergeCell ref="J34:K34"/>
    <mergeCell ref="M34:N34"/>
    <mergeCell ref="G35:H35"/>
    <mergeCell ref="J35:K35"/>
    <mergeCell ref="M35:N35"/>
    <mergeCell ref="G31:H31"/>
    <mergeCell ref="J31:K31"/>
    <mergeCell ref="M31:N31"/>
    <mergeCell ref="G33:H33"/>
    <mergeCell ref="J33:K33"/>
    <mergeCell ref="M33:N33"/>
    <mergeCell ref="G39:H39"/>
    <mergeCell ref="J39:K39"/>
    <mergeCell ref="M39:N39"/>
    <mergeCell ref="G40:H40"/>
    <mergeCell ref="J40:K40"/>
    <mergeCell ref="M40:N40"/>
    <mergeCell ref="G36:H36"/>
    <mergeCell ref="J36:K36"/>
    <mergeCell ref="M36:N36"/>
    <mergeCell ref="G38:H38"/>
    <mergeCell ref="J38:K38"/>
    <mergeCell ref="M38:N38"/>
    <mergeCell ref="G51:H51"/>
    <mergeCell ref="J51:K51"/>
    <mergeCell ref="M51:N51"/>
    <mergeCell ref="G52:H52"/>
    <mergeCell ref="J52:K52"/>
    <mergeCell ref="M52:N52"/>
    <mergeCell ref="G41:H41"/>
    <mergeCell ref="J41:K41"/>
    <mergeCell ref="M41:N41"/>
    <mergeCell ref="G43:H43"/>
    <mergeCell ref="J43:K43"/>
    <mergeCell ref="M43:N43"/>
    <mergeCell ref="G59:H59"/>
    <mergeCell ref="J59:K59"/>
    <mergeCell ref="M59:N59"/>
    <mergeCell ref="G44:H44"/>
    <mergeCell ref="J44:K44"/>
    <mergeCell ref="M44:N44"/>
    <mergeCell ref="G57:H57"/>
    <mergeCell ref="J57:K57"/>
    <mergeCell ref="M57:N57"/>
    <mergeCell ref="G58:H58"/>
    <mergeCell ref="J58:K58"/>
    <mergeCell ref="M58:N58"/>
    <mergeCell ref="G55:H55"/>
    <mergeCell ref="J55:K55"/>
    <mergeCell ref="M55:N55"/>
    <mergeCell ref="G56:H56"/>
    <mergeCell ref="J56:K56"/>
    <mergeCell ref="M56:N56"/>
    <mergeCell ref="G53:H53"/>
    <mergeCell ref="J53:K53"/>
    <mergeCell ref="M53:N53"/>
    <mergeCell ref="G54:H54"/>
    <mergeCell ref="J54:K54"/>
    <mergeCell ref="M54:N54"/>
  </mergeCells>
  <printOptions/>
  <pageMargins left="0.25" right="0.25" top="0.75" bottom="0.75" header="0.3" footer="0.3"/>
  <pageSetup fitToHeight="1" fitToWidth="1" horizontalDpi="1200" verticalDpi="1200" orientation="portrait" scale="94" r:id="rId3"/>
  <colBreaks count="1" manualBreakCount="1">
    <brk id="14" max="16383" man="1"/>
  </colBreaks>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V66"/>
  <sheetViews>
    <sheetView showGridLines="0" workbookViewId="0" topLeftCell="A17">
      <selection activeCell="G35" sqref="G35:H35"/>
    </sheetView>
  </sheetViews>
  <sheetFormatPr defaultColWidth="9.00390625" defaultRowHeight="11.25"/>
  <cols>
    <col min="1" max="1" width="4.625" style="1" customWidth="1"/>
    <col min="2" max="5" width="9.00390625" style="1" customWidth="1"/>
    <col min="6" max="6" width="7.125" style="1" customWidth="1"/>
    <col min="7" max="8" width="9.125" style="1" customWidth="1"/>
    <col min="9" max="9" width="1.75390625" style="1" customWidth="1"/>
    <col min="10" max="11" width="9.125" style="1" customWidth="1"/>
    <col min="12" max="12" width="1.75390625" style="1" customWidth="1"/>
    <col min="13" max="14" width="9.125" style="1" customWidth="1"/>
    <col min="15" max="15" width="3.75390625" style="10" customWidth="1"/>
    <col min="16" max="16384" width="9.00390625" style="10" customWidth="1"/>
  </cols>
  <sheetData>
    <row r="1" spans="1:14" s="12" customFormat="1" ht="11.25">
      <c r="A1" s="17" t="s">
        <v>88</v>
      </c>
      <c r="B1" s="18"/>
      <c r="C1" s="18"/>
      <c r="D1" s="18"/>
      <c r="E1" s="18"/>
      <c r="F1" s="18"/>
      <c r="G1" s="18"/>
      <c r="H1" s="18"/>
      <c r="I1" s="18"/>
      <c r="J1" s="18"/>
      <c r="K1" s="18"/>
      <c r="L1" s="18"/>
      <c r="M1" s="18"/>
      <c r="N1" s="19"/>
    </row>
    <row r="2" spans="1:16" s="12" customFormat="1" ht="11.25">
      <c r="A2" s="20" t="s">
        <v>89</v>
      </c>
      <c r="B2" s="15"/>
      <c r="C2" s="15"/>
      <c r="D2" s="15"/>
      <c r="E2" s="15"/>
      <c r="F2" s="15"/>
      <c r="G2" s="328" t="s">
        <v>26</v>
      </c>
      <c r="H2" s="328"/>
      <c r="I2" s="328"/>
      <c r="J2" s="328"/>
      <c r="K2" s="328"/>
      <c r="L2" s="328"/>
      <c r="M2" s="328"/>
      <c r="N2" s="329"/>
      <c r="P2" s="43" t="s">
        <v>27</v>
      </c>
    </row>
    <row r="3" spans="1:14" ht="11.25">
      <c r="A3" s="45"/>
      <c r="B3" s="2"/>
      <c r="C3" s="2"/>
      <c r="D3" s="2"/>
      <c r="E3" s="2"/>
      <c r="F3" s="16" t="s">
        <v>14</v>
      </c>
      <c r="G3" s="330">
        <v>19</v>
      </c>
      <c r="H3" s="327"/>
      <c r="I3" s="2"/>
      <c r="J3" s="330">
        <v>18</v>
      </c>
      <c r="K3" s="327"/>
      <c r="L3" s="2"/>
      <c r="M3" s="330">
        <v>17</v>
      </c>
      <c r="N3" s="331"/>
    </row>
    <row r="4" spans="1:14" ht="11.25">
      <c r="A4" s="20"/>
      <c r="B4" s="2"/>
      <c r="C4" s="2"/>
      <c r="D4" s="2"/>
      <c r="E4" s="2"/>
      <c r="F4" s="16" t="s">
        <v>15</v>
      </c>
      <c r="G4" s="330" t="s">
        <v>80</v>
      </c>
      <c r="H4" s="327"/>
      <c r="I4" s="2"/>
      <c r="J4" s="330" t="s">
        <v>81</v>
      </c>
      <c r="K4" s="327"/>
      <c r="L4" s="2"/>
      <c r="M4" s="330" t="s">
        <v>82</v>
      </c>
      <c r="N4" s="331"/>
    </row>
    <row r="5" spans="1:14" ht="11.25">
      <c r="A5" s="20"/>
      <c r="B5" s="2"/>
      <c r="C5" s="2"/>
      <c r="D5" s="2"/>
      <c r="E5" s="2"/>
      <c r="F5" s="16" t="s">
        <v>16</v>
      </c>
      <c r="G5" s="321" t="s">
        <v>99</v>
      </c>
      <c r="H5" s="322"/>
      <c r="I5" s="2"/>
      <c r="J5" s="28"/>
      <c r="K5" s="28"/>
      <c r="L5" s="28"/>
      <c r="M5" s="28"/>
      <c r="N5" s="33"/>
    </row>
    <row r="6" spans="1:14" ht="11.25">
      <c r="A6" s="20"/>
      <c r="B6" s="2"/>
      <c r="C6" s="2"/>
      <c r="D6" s="2"/>
      <c r="E6" s="2"/>
      <c r="F6" s="16" t="s">
        <v>17</v>
      </c>
      <c r="G6" s="323" t="s">
        <v>118</v>
      </c>
      <c r="H6" s="323"/>
      <c r="I6" s="2"/>
      <c r="J6" s="28"/>
      <c r="K6" s="28"/>
      <c r="L6" s="28"/>
      <c r="M6" s="28"/>
      <c r="N6" s="33"/>
    </row>
    <row r="7" spans="1:14" ht="11.25">
      <c r="A7" s="20"/>
      <c r="B7" s="2"/>
      <c r="C7" s="2"/>
      <c r="D7" s="2"/>
      <c r="E7" s="2"/>
      <c r="F7" s="16" t="s">
        <v>33</v>
      </c>
      <c r="G7" s="324" t="s">
        <v>97</v>
      </c>
      <c r="H7" s="325"/>
      <c r="I7" s="2"/>
      <c r="J7" s="28"/>
      <c r="K7" s="28"/>
      <c r="L7" s="28"/>
      <c r="M7" s="28"/>
      <c r="N7" s="33"/>
    </row>
    <row r="8" spans="1:14" ht="11.25">
      <c r="A8" s="20"/>
      <c r="B8" s="2"/>
      <c r="C8" s="2"/>
      <c r="D8" s="2"/>
      <c r="E8" s="2"/>
      <c r="F8" s="16" t="s">
        <v>18</v>
      </c>
      <c r="G8" s="326">
        <v>43935</v>
      </c>
      <c r="H8" s="327"/>
      <c r="I8" s="2"/>
      <c r="J8" s="28"/>
      <c r="K8" s="28"/>
      <c r="L8" s="28"/>
      <c r="M8" s="28"/>
      <c r="N8" s="33"/>
    </row>
    <row r="9" spans="1:14" ht="12.75">
      <c r="A9" s="21" t="s">
        <v>2</v>
      </c>
      <c r="B9" s="22"/>
      <c r="C9" s="4"/>
      <c r="D9" s="4"/>
      <c r="E9" s="3"/>
      <c r="F9" s="3"/>
      <c r="G9" s="319"/>
      <c r="H9" s="319"/>
      <c r="I9" s="3"/>
      <c r="J9" s="319"/>
      <c r="K9" s="319"/>
      <c r="L9" s="3"/>
      <c r="M9" s="319"/>
      <c r="N9" s="320"/>
    </row>
    <row r="10" spans="1:15" ht="12.75">
      <c r="A10" s="20"/>
      <c r="B10" s="22" t="s">
        <v>56</v>
      </c>
      <c r="C10" s="4"/>
      <c r="D10" s="4"/>
      <c r="E10" s="3"/>
      <c r="F10" s="29"/>
      <c r="G10" s="58"/>
      <c r="H10" s="58"/>
      <c r="I10" s="5"/>
      <c r="J10" s="58"/>
      <c r="K10" s="58"/>
      <c r="L10" s="5"/>
      <c r="M10" s="58"/>
      <c r="N10" s="59"/>
      <c r="O10" s="11"/>
    </row>
    <row r="11" spans="1:16" ht="11.25">
      <c r="A11" s="20"/>
      <c r="B11" s="22"/>
      <c r="C11" s="6"/>
      <c r="D11" s="6"/>
      <c r="E11" s="7"/>
      <c r="F11" s="30" t="s">
        <v>7</v>
      </c>
      <c r="G11" s="313">
        <v>9922</v>
      </c>
      <c r="H11" s="314"/>
      <c r="I11" s="5"/>
      <c r="J11" s="313">
        <v>9691</v>
      </c>
      <c r="K11" s="314"/>
      <c r="L11" s="5"/>
      <c r="M11" s="313">
        <v>9305</v>
      </c>
      <c r="N11" s="315"/>
      <c r="P11" s="10" t="s">
        <v>28</v>
      </c>
    </row>
    <row r="12" spans="1:16" ht="12.75">
      <c r="A12" s="20"/>
      <c r="B12" s="22"/>
      <c r="C12" s="4"/>
      <c r="D12" s="4"/>
      <c r="E12" s="3"/>
      <c r="F12" s="29" t="s">
        <v>5</v>
      </c>
      <c r="G12" s="316">
        <v>0.033</v>
      </c>
      <c r="H12" s="317"/>
      <c r="I12" s="5"/>
      <c r="J12" s="316">
        <v>0.037</v>
      </c>
      <c r="K12" s="317"/>
      <c r="L12" s="5"/>
      <c r="M12" s="316">
        <v>-0.012</v>
      </c>
      <c r="N12" s="318"/>
      <c r="O12" s="11"/>
      <c r="P12" s="10" t="s">
        <v>29</v>
      </c>
    </row>
    <row r="13" spans="1:16" ht="12.75">
      <c r="A13" s="20"/>
      <c r="B13" s="22"/>
      <c r="C13" s="4"/>
      <c r="D13" s="4"/>
      <c r="E13" s="3"/>
      <c r="F13" s="29" t="s">
        <v>53</v>
      </c>
      <c r="G13" s="313">
        <v>8</v>
      </c>
      <c r="H13" s="314"/>
      <c r="I13" s="5"/>
      <c r="J13" s="313">
        <v>8</v>
      </c>
      <c r="K13" s="314"/>
      <c r="L13" s="5"/>
      <c r="M13" s="313">
        <v>8</v>
      </c>
      <c r="N13" s="315"/>
      <c r="O13" s="11"/>
      <c r="P13" s="10" t="s">
        <v>71</v>
      </c>
    </row>
    <row r="14" spans="1:16" ht="12.75">
      <c r="A14" s="20"/>
      <c r="B14" s="22"/>
      <c r="C14" s="4"/>
      <c r="D14" s="4"/>
      <c r="E14" s="3"/>
      <c r="F14" s="29" t="s">
        <v>54</v>
      </c>
      <c r="G14" s="313">
        <f>37+10+114+31+35</f>
        <v>227</v>
      </c>
      <c r="H14" s="314"/>
      <c r="I14" s="5"/>
      <c r="J14" s="313">
        <f>40+1+132+31+46</f>
        <v>250</v>
      </c>
      <c r="K14" s="314"/>
      <c r="L14" s="5"/>
      <c r="M14" s="313">
        <f>43+84+75+1</f>
        <v>203</v>
      </c>
      <c r="N14" s="315"/>
      <c r="O14" s="11"/>
      <c r="P14" s="10" t="s">
        <v>70</v>
      </c>
    </row>
    <row r="15" spans="1:16" ht="12.75">
      <c r="A15" s="20"/>
      <c r="B15" s="22"/>
      <c r="C15" s="4"/>
      <c r="D15" s="4"/>
      <c r="E15" s="3"/>
      <c r="F15" s="29" t="s">
        <v>55</v>
      </c>
      <c r="G15" s="313">
        <f>180+38+96</f>
        <v>314</v>
      </c>
      <c r="H15" s="314"/>
      <c r="I15" s="5"/>
      <c r="J15" s="313">
        <f>89+23+160</f>
        <v>272</v>
      </c>
      <c r="K15" s="314"/>
      <c r="L15" s="5"/>
      <c r="M15" s="313">
        <f>109+34+173</f>
        <v>316</v>
      </c>
      <c r="N15" s="315"/>
      <c r="O15" s="11"/>
      <c r="P15" s="10" t="s">
        <v>69</v>
      </c>
    </row>
    <row r="16" spans="1:16" ht="12.75">
      <c r="A16" s="20"/>
      <c r="B16" s="22"/>
      <c r="C16" s="4"/>
      <c r="D16" s="4"/>
      <c r="E16" s="3"/>
      <c r="F16" s="29" t="s">
        <v>78</v>
      </c>
      <c r="G16" s="313">
        <v>111</v>
      </c>
      <c r="H16" s="314"/>
      <c r="I16" s="5"/>
      <c r="J16" s="313">
        <v>91</v>
      </c>
      <c r="K16" s="314"/>
      <c r="L16" s="5"/>
      <c r="M16" s="313">
        <v>102</v>
      </c>
      <c r="N16" s="315"/>
      <c r="O16" s="11"/>
      <c r="P16" s="10" t="s">
        <v>86</v>
      </c>
    </row>
    <row r="17" spans="1:15" ht="12.75">
      <c r="A17" s="20"/>
      <c r="B17" s="22" t="s">
        <v>57</v>
      </c>
      <c r="C17" s="4"/>
      <c r="D17" s="4"/>
      <c r="E17" s="3"/>
      <c r="F17" s="29"/>
      <c r="G17" s="58"/>
      <c r="H17" s="58"/>
      <c r="I17" s="5"/>
      <c r="J17" s="58"/>
      <c r="K17" s="58"/>
      <c r="L17" s="5"/>
      <c r="M17" s="58"/>
      <c r="N17" s="59"/>
      <c r="O17" s="11"/>
    </row>
    <row r="18" spans="1:16" ht="11.25">
      <c r="A18" s="20"/>
      <c r="B18" s="22"/>
      <c r="C18" s="6"/>
      <c r="D18" s="6"/>
      <c r="E18" s="7"/>
      <c r="F18" s="30" t="s">
        <v>7</v>
      </c>
      <c r="G18" s="313">
        <v>338</v>
      </c>
      <c r="H18" s="314"/>
      <c r="I18" s="5"/>
      <c r="J18" s="313">
        <v>783</v>
      </c>
      <c r="K18" s="314"/>
      <c r="L18" s="5"/>
      <c r="M18" s="313">
        <v>690</v>
      </c>
      <c r="N18" s="315"/>
      <c r="P18" s="10" t="s">
        <v>28</v>
      </c>
    </row>
    <row r="19" spans="1:16" ht="12.75">
      <c r="A19" s="20"/>
      <c r="B19" s="22"/>
      <c r="C19" s="4"/>
      <c r="D19" s="4"/>
      <c r="E19" s="3"/>
      <c r="F19" s="29" t="s">
        <v>5</v>
      </c>
      <c r="G19" s="316">
        <v>-0.3</v>
      </c>
      <c r="H19" s="317"/>
      <c r="I19" s="5"/>
      <c r="J19" s="316">
        <v>0.255</v>
      </c>
      <c r="K19" s="317"/>
      <c r="L19" s="5"/>
      <c r="M19" s="316">
        <v>-0.026</v>
      </c>
      <c r="N19" s="318"/>
      <c r="O19" s="11"/>
      <c r="P19" s="10" t="s">
        <v>29</v>
      </c>
    </row>
    <row r="20" spans="1:16" ht="12.75">
      <c r="A20" s="20"/>
      <c r="B20" s="22"/>
      <c r="C20" s="4"/>
      <c r="D20" s="4"/>
      <c r="E20" s="3"/>
      <c r="F20" s="29" t="s">
        <v>58</v>
      </c>
      <c r="G20" s="313">
        <v>1</v>
      </c>
      <c r="H20" s="314"/>
      <c r="I20" s="5"/>
      <c r="J20" s="313">
        <v>1</v>
      </c>
      <c r="K20" s="314"/>
      <c r="L20" s="5"/>
      <c r="M20" s="313">
        <v>1</v>
      </c>
      <c r="N20" s="315"/>
      <c r="O20" s="11"/>
      <c r="P20" s="10" t="s">
        <v>71</v>
      </c>
    </row>
    <row r="21" spans="1:16" ht="12.75">
      <c r="A21" s="20"/>
      <c r="B21" s="22"/>
      <c r="C21" s="4"/>
      <c r="D21" s="4"/>
      <c r="E21" s="3"/>
      <c r="F21" s="29" t="s">
        <v>59</v>
      </c>
      <c r="G21" s="313">
        <v>41</v>
      </c>
      <c r="H21" s="314"/>
      <c r="I21" s="5"/>
      <c r="J21" s="313">
        <v>48</v>
      </c>
      <c r="K21" s="314"/>
      <c r="L21" s="5"/>
      <c r="M21" s="313">
        <v>52</v>
      </c>
      <c r="N21" s="315"/>
      <c r="O21" s="11"/>
      <c r="P21" s="10" t="s">
        <v>83</v>
      </c>
    </row>
    <row r="22" spans="1:16" ht="12.75">
      <c r="A22" s="20"/>
      <c r="B22" s="22"/>
      <c r="C22" s="4"/>
      <c r="D22" s="4"/>
      <c r="E22" s="3"/>
      <c r="F22" s="29" t="s">
        <v>78</v>
      </c>
      <c r="G22" s="313">
        <v>37</v>
      </c>
      <c r="H22" s="314"/>
      <c r="I22" s="5"/>
      <c r="J22" s="313">
        <v>24</v>
      </c>
      <c r="K22" s="314"/>
      <c r="L22" s="5"/>
      <c r="M22" s="313">
        <v>23</v>
      </c>
      <c r="N22" s="315"/>
      <c r="O22" s="11"/>
      <c r="P22" s="10" t="s">
        <v>86</v>
      </c>
    </row>
    <row r="23" spans="1:14" ht="11.25">
      <c r="A23" s="20"/>
      <c r="B23" s="4" t="s">
        <v>6</v>
      </c>
      <c r="C23" s="4"/>
      <c r="D23" s="4"/>
      <c r="E23" s="3"/>
      <c r="F23" s="3"/>
      <c r="G23" s="23"/>
      <c r="H23" s="23"/>
      <c r="I23" s="5"/>
      <c r="J23" s="23"/>
      <c r="K23" s="23"/>
      <c r="L23" s="5"/>
      <c r="M23" s="23"/>
      <c r="N23" s="24"/>
    </row>
    <row r="24" spans="1:16" ht="11.25">
      <c r="A24" s="20"/>
      <c r="B24" s="22"/>
      <c r="C24" s="4"/>
      <c r="D24" s="4"/>
      <c r="E24" s="3"/>
      <c r="F24" s="29" t="s">
        <v>20</v>
      </c>
      <c r="G24" s="293">
        <v>0.638</v>
      </c>
      <c r="H24" s="294"/>
      <c r="I24" s="3"/>
      <c r="J24" s="293">
        <v>0.665</v>
      </c>
      <c r="K24" s="294"/>
      <c r="L24" s="3"/>
      <c r="M24" s="293">
        <v>0.645</v>
      </c>
      <c r="N24" s="295"/>
      <c r="P24" s="10" t="s">
        <v>30</v>
      </c>
    </row>
    <row r="25" spans="1:16" ht="11.25">
      <c r="A25" s="20"/>
      <c r="B25" s="22"/>
      <c r="C25" s="4"/>
      <c r="D25" s="4"/>
      <c r="E25" s="3"/>
      <c r="F25" s="29" t="s">
        <v>21</v>
      </c>
      <c r="G25" s="293">
        <v>0.362</v>
      </c>
      <c r="H25" s="294"/>
      <c r="I25" s="3"/>
      <c r="J25" s="293">
        <v>0.335</v>
      </c>
      <c r="K25" s="294"/>
      <c r="L25" s="3"/>
      <c r="M25" s="293">
        <v>0.355</v>
      </c>
      <c r="N25" s="295"/>
      <c r="P25" s="10" t="s">
        <v>31</v>
      </c>
    </row>
    <row r="26" spans="1:14" ht="11.25">
      <c r="A26" s="62" t="s">
        <v>60</v>
      </c>
      <c r="B26" s="22"/>
      <c r="C26" s="4"/>
      <c r="D26" s="4"/>
      <c r="E26" s="3"/>
      <c r="F26" s="29"/>
      <c r="G26" s="60"/>
      <c r="H26" s="60"/>
      <c r="I26" s="5"/>
      <c r="J26" s="60"/>
      <c r="K26" s="60"/>
      <c r="L26" s="5"/>
      <c r="M26" s="60"/>
      <c r="N26" s="61"/>
    </row>
    <row r="27" spans="1:16" ht="11.25">
      <c r="A27" s="20"/>
      <c r="B27" s="22"/>
      <c r="C27" s="4"/>
      <c r="D27" s="4"/>
      <c r="E27" s="3"/>
      <c r="F27" s="29" t="s">
        <v>61</v>
      </c>
      <c r="G27" s="313">
        <f>1518241.87-G28+482113.88</f>
        <v>1711272.71</v>
      </c>
      <c r="H27" s="314"/>
      <c r="I27" s="5"/>
      <c r="J27" s="313">
        <f>495406.87-J28+1484533.61</f>
        <v>1726633.1700000002</v>
      </c>
      <c r="K27" s="314"/>
      <c r="L27" s="5"/>
      <c r="M27" s="313">
        <f>1470660.94-M28+460561.78</f>
        <v>1647308.93</v>
      </c>
      <c r="N27" s="315"/>
      <c r="P27" s="10" t="s">
        <v>91</v>
      </c>
    </row>
    <row r="28" spans="1:16" ht="11.25">
      <c r="A28" s="20"/>
      <c r="B28" s="22"/>
      <c r="C28" s="4"/>
      <c r="D28" s="4"/>
      <c r="E28" s="3"/>
      <c r="F28" s="29" t="s">
        <v>62</v>
      </c>
      <c r="G28" s="313">
        <f>51475.2+154781.03+82826.81</f>
        <v>289083.04</v>
      </c>
      <c r="H28" s="314"/>
      <c r="I28" s="5"/>
      <c r="J28" s="313">
        <f>164370.75+39704.16+49232.4</f>
        <v>253307.31</v>
      </c>
      <c r="K28" s="314"/>
      <c r="L28" s="5"/>
      <c r="M28" s="313">
        <f>48384.48+196508.79+39020.52</f>
        <v>283913.79000000004</v>
      </c>
      <c r="N28" s="315"/>
      <c r="P28" s="10" t="s">
        <v>91</v>
      </c>
    </row>
    <row r="29" spans="1:16" ht="11.25">
      <c r="A29" s="20"/>
      <c r="B29" s="22"/>
      <c r="C29" s="4"/>
      <c r="D29" s="4"/>
      <c r="E29" s="3"/>
      <c r="F29" s="29" t="s">
        <v>63</v>
      </c>
      <c r="G29" s="310">
        <f>193459.6+477136.36+19549.91</f>
        <v>690145.87</v>
      </c>
      <c r="H29" s="311"/>
      <c r="I29" s="5"/>
      <c r="J29" s="310">
        <f>19122.83+470642.59+192690.29</f>
        <v>682455.7100000001</v>
      </c>
      <c r="K29" s="311"/>
      <c r="L29" s="5"/>
      <c r="M29" s="310">
        <f>472999.75+168860.36+18758.23</f>
        <v>660618.34</v>
      </c>
      <c r="N29" s="312"/>
      <c r="P29" s="10" t="s">
        <v>90</v>
      </c>
    </row>
    <row r="30" spans="1:14" ht="11.25">
      <c r="A30" s="20"/>
      <c r="B30" s="22"/>
      <c r="C30" s="4"/>
      <c r="D30" s="4"/>
      <c r="E30" s="3"/>
      <c r="F30" s="29"/>
      <c r="G30" s="73"/>
      <c r="H30" s="74"/>
      <c r="I30" s="5"/>
      <c r="J30" s="73"/>
      <c r="K30" s="74"/>
      <c r="L30" s="5"/>
      <c r="M30" s="73"/>
      <c r="N30" s="75"/>
    </row>
    <row r="31" spans="1:18" ht="11.25">
      <c r="A31" s="20"/>
      <c r="B31" s="4"/>
      <c r="C31" s="4"/>
      <c r="D31" s="4"/>
      <c r="E31" s="3"/>
      <c r="F31" s="63" t="s">
        <v>64</v>
      </c>
      <c r="G31" s="299">
        <f>SUM(G27:H29)/(G11+G18)</f>
        <v>262.23212670565306</v>
      </c>
      <c r="H31" s="300"/>
      <c r="I31" s="22"/>
      <c r="J31" s="299">
        <f>SUM(J27:K29)/(J11+J18)</f>
        <v>254.19096715676918</v>
      </c>
      <c r="K31" s="300"/>
      <c r="L31" s="22"/>
      <c r="M31" s="299">
        <f>SUM(M27:N29)/(M11+M18)</f>
        <v>259.3137628814407</v>
      </c>
      <c r="N31" s="301"/>
      <c r="O31"/>
      <c r="P31" t="s">
        <v>32</v>
      </c>
      <c r="Q31"/>
      <c r="R31"/>
    </row>
    <row r="32" spans="1:14" ht="11.25">
      <c r="A32" s="21" t="s">
        <v>3</v>
      </c>
      <c r="B32" s="22"/>
      <c r="C32" s="4"/>
      <c r="D32" s="4"/>
      <c r="E32" s="3"/>
      <c r="F32" s="3"/>
      <c r="G32" s="8"/>
      <c r="H32" s="8"/>
      <c r="I32" s="3"/>
      <c r="J32" s="8"/>
      <c r="K32" s="8"/>
      <c r="L32" s="3"/>
      <c r="M32" s="8"/>
      <c r="N32" s="25"/>
    </row>
    <row r="33" spans="1:22" ht="11.25">
      <c r="A33" s="20"/>
      <c r="B33" s="22"/>
      <c r="C33" s="4"/>
      <c r="D33" s="48"/>
      <c r="E33" s="49"/>
      <c r="F33" s="50" t="s">
        <v>43</v>
      </c>
      <c r="G33" s="302">
        <f>0.6+6</f>
        <v>6.6</v>
      </c>
      <c r="H33" s="303"/>
      <c r="I33" s="56"/>
      <c r="J33" s="302">
        <f>2.3+6.1</f>
        <v>8.399999999999999</v>
      </c>
      <c r="K33" s="303"/>
      <c r="L33" s="56"/>
      <c r="M33" s="302">
        <f>3.1+5.3</f>
        <v>8.4</v>
      </c>
      <c r="N33" s="304"/>
      <c r="O33"/>
      <c r="P33" s="46" t="s">
        <v>47</v>
      </c>
      <c r="Q33" s="47"/>
      <c r="R33" s="47"/>
      <c r="S33" s="46"/>
      <c r="T33" s="46"/>
      <c r="U33" s="46"/>
      <c r="V33" s="46"/>
    </row>
    <row r="34" spans="1:22" ht="11.25">
      <c r="A34" s="20"/>
      <c r="B34" s="22"/>
      <c r="C34" s="4"/>
      <c r="D34" s="48"/>
      <c r="E34" s="49"/>
      <c r="F34" s="50" t="s">
        <v>44</v>
      </c>
      <c r="G34" s="302">
        <f>3.3/36*45</f>
        <v>4.125</v>
      </c>
      <c r="H34" s="303"/>
      <c r="I34" s="56"/>
      <c r="J34" s="302">
        <f>2.2/36*45</f>
        <v>2.75</v>
      </c>
      <c r="K34" s="303"/>
      <c r="L34" s="56"/>
      <c r="M34" s="302">
        <f>2.8/36*45</f>
        <v>3.5</v>
      </c>
      <c r="N34" s="304"/>
      <c r="O34"/>
      <c r="P34" s="46" t="s">
        <v>48</v>
      </c>
      <c r="Q34" s="47"/>
      <c r="R34" s="47"/>
      <c r="S34" s="46"/>
      <c r="T34" s="46"/>
      <c r="U34" s="46"/>
      <c r="V34" s="46"/>
    </row>
    <row r="35" spans="1:22" ht="11.25">
      <c r="A35" s="20"/>
      <c r="B35" s="22"/>
      <c r="C35" s="4"/>
      <c r="D35" s="48"/>
      <c r="E35" s="49"/>
      <c r="F35" s="50" t="s">
        <v>45</v>
      </c>
      <c r="G35" s="307">
        <f>3.8/36*45</f>
        <v>4.75</v>
      </c>
      <c r="H35" s="308"/>
      <c r="I35" s="56"/>
      <c r="J35" s="307">
        <f>4.9/36*45</f>
        <v>6.125000000000001</v>
      </c>
      <c r="K35" s="308"/>
      <c r="L35" s="56"/>
      <c r="M35" s="307">
        <f>4.2/36*45</f>
        <v>5.25</v>
      </c>
      <c r="N35" s="309"/>
      <c r="O35"/>
      <c r="P35" s="46" t="s">
        <v>50</v>
      </c>
      <c r="Q35" s="47"/>
      <c r="R35" s="47"/>
      <c r="S35" s="46"/>
      <c r="T35" s="46"/>
      <c r="U35" s="46"/>
      <c r="V35" s="46"/>
    </row>
    <row r="36" spans="1:22" ht="11.25">
      <c r="A36" s="20"/>
      <c r="B36" s="22"/>
      <c r="C36" s="4"/>
      <c r="D36" s="48"/>
      <c r="E36" s="49"/>
      <c r="F36" s="50" t="s">
        <v>46</v>
      </c>
      <c r="G36" s="305">
        <v>0</v>
      </c>
      <c r="H36" s="305"/>
      <c r="I36" s="56"/>
      <c r="J36" s="305">
        <v>0</v>
      </c>
      <c r="K36" s="305"/>
      <c r="L36" s="56"/>
      <c r="M36" s="305">
        <v>0</v>
      </c>
      <c r="N36" s="306"/>
      <c r="O36"/>
      <c r="P36" s="46" t="s">
        <v>49</v>
      </c>
      <c r="Q36" s="47"/>
      <c r="R36" s="47"/>
      <c r="S36" s="46"/>
      <c r="T36" s="46"/>
      <c r="U36" s="46"/>
      <c r="V36" s="46"/>
    </row>
    <row r="37" spans="1:18" s="69" customFormat="1" ht="11.25">
      <c r="A37" s="64"/>
      <c r="B37" s="65"/>
      <c r="C37" s="66"/>
      <c r="D37" s="66"/>
      <c r="E37" s="5"/>
      <c r="F37" s="67"/>
      <c r="G37" s="70"/>
      <c r="H37" s="70"/>
      <c r="I37" s="68"/>
      <c r="J37" s="70"/>
      <c r="K37" s="70"/>
      <c r="L37" s="68"/>
      <c r="M37" s="70"/>
      <c r="N37" s="71"/>
      <c r="O37" s="12"/>
      <c r="Q37" s="12"/>
      <c r="R37" s="12"/>
    </row>
    <row r="38" spans="1:22" ht="11.25">
      <c r="A38" s="20"/>
      <c r="B38" s="22"/>
      <c r="C38" s="4"/>
      <c r="D38" s="48"/>
      <c r="E38" s="49"/>
      <c r="F38" s="50" t="s">
        <v>66</v>
      </c>
      <c r="G38" s="305">
        <f>316+4237</f>
        <v>4553</v>
      </c>
      <c r="H38" s="305"/>
      <c r="I38" s="56"/>
      <c r="J38" s="305">
        <f>1282+4190</f>
        <v>5472</v>
      </c>
      <c r="K38" s="305"/>
      <c r="L38" s="56"/>
      <c r="M38" s="305">
        <f>2061+3264</f>
        <v>5325</v>
      </c>
      <c r="N38" s="306"/>
      <c r="O38"/>
      <c r="P38" s="46" t="s">
        <v>72</v>
      </c>
      <c r="Q38" s="47"/>
      <c r="R38" s="47"/>
      <c r="S38" s="46"/>
      <c r="T38" s="46"/>
      <c r="U38" s="46"/>
      <c r="V38" s="46"/>
    </row>
    <row r="39" spans="1:22" ht="11.25">
      <c r="A39" s="20"/>
      <c r="B39" s="22"/>
      <c r="C39" s="4"/>
      <c r="D39" s="48"/>
      <c r="E39" s="49"/>
      <c r="F39" s="50" t="s">
        <v>65</v>
      </c>
      <c r="G39" s="299">
        <v>3395</v>
      </c>
      <c r="H39" s="300"/>
      <c r="I39" s="56"/>
      <c r="J39" s="299">
        <v>1480</v>
      </c>
      <c r="K39" s="300"/>
      <c r="L39" s="56"/>
      <c r="M39" s="299">
        <v>1764</v>
      </c>
      <c r="N39" s="301"/>
      <c r="O39"/>
      <c r="P39" s="46" t="s">
        <v>73</v>
      </c>
      <c r="Q39" s="47"/>
      <c r="R39" s="47"/>
      <c r="S39" s="46"/>
      <c r="T39" s="46"/>
      <c r="U39" s="46"/>
      <c r="V39" s="46"/>
    </row>
    <row r="40" spans="1:22" ht="11.25">
      <c r="A40" s="20"/>
      <c r="B40" s="22"/>
      <c r="C40" s="4"/>
      <c r="D40" s="48"/>
      <c r="E40" s="49"/>
      <c r="F40" s="50" t="s">
        <v>67</v>
      </c>
      <c r="G40" s="302">
        <v>1895</v>
      </c>
      <c r="H40" s="303"/>
      <c r="I40" s="56"/>
      <c r="J40" s="302">
        <v>3468</v>
      </c>
      <c r="K40" s="303"/>
      <c r="L40" s="56"/>
      <c r="M40" s="302">
        <v>2781</v>
      </c>
      <c r="N40" s="304"/>
      <c r="O40"/>
      <c r="P40" s="46" t="s">
        <v>75</v>
      </c>
      <c r="Q40" s="47"/>
      <c r="R40" s="47"/>
      <c r="S40" s="46"/>
      <c r="T40" s="46"/>
      <c r="U40" s="46"/>
      <c r="V40" s="46"/>
    </row>
    <row r="41" spans="1:22" ht="11.25">
      <c r="A41" s="20"/>
      <c r="B41" s="22"/>
      <c r="C41" s="4"/>
      <c r="D41" s="48"/>
      <c r="E41" s="49"/>
      <c r="F41" s="50" t="s">
        <v>68</v>
      </c>
      <c r="G41" s="302">
        <v>0</v>
      </c>
      <c r="H41" s="303"/>
      <c r="I41" s="56"/>
      <c r="J41" s="302">
        <v>0</v>
      </c>
      <c r="K41" s="303"/>
      <c r="L41" s="56"/>
      <c r="M41" s="302">
        <v>0</v>
      </c>
      <c r="N41" s="304"/>
      <c r="O41"/>
      <c r="P41" s="46" t="s">
        <v>74</v>
      </c>
      <c r="Q41" s="47"/>
      <c r="R41" s="47"/>
      <c r="S41" s="46"/>
      <c r="T41" s="46"/>
      <c r="U41" s="46"/>
      <c r="V41" s="46"/>
    </row>
    <row r="42" spans="1:18" ht="11.25">
      <c r="A42" s="20"/>
      <c r="B42" s="4"/>
      <c r="C42" s="4"/>
      <c r="D42" s="4"/>
      <c r="E42" s="3"/>
      <c r="F42" s="3"/>
      <c r="G42" s="9"/>
      <c r="H42" s="9"/>
      <c r="I42" s="22"/>
      <c r="J42" s="9"/>
      <c r="K42" s="9"/>
      <c r="L42" s="22"/>
      <c r="M42" s="9"/>
      <c r="N42" s="26"/>
      <c r="O42"/>
      <c r="P42"/>
      <c r="Q42"/>
      <c r="R42"/>
    </row>
    <row r="43" spans="1:18" ht="11.25">
      <c r="A43" s="20"/>
      <c r="B43" s="22"/>
      <c r="C43" s="4"/>
      <c r="D43" s="4"/>
      <c r="E43" s="3"/>
      <c r="F43" s="29" t="s">
        <v>22</v>
      </c>
      <c r="G43" s="302">
        <f>+(G11+G18)/(G33+G34)</f>
        <v>956.6433566433567</v>
      </c>
      <c r="H43" s="303"/>
      <c r="I43" s="22"/>
      <c r="J43" s="302">
        <f>+(J11+J18)/(J33+J34)</f>
        <v>939.3721973094172</v>
      </c>
      <c r="K43" s="303"/>
      <c r="L43" s="22"/>
      <c r="M43" s="302">
        <f>+(M11+M18)/(M33+M34)</f>
        <v>839.9159663865546</v>
      </c>
      <c r="N43" s="303"/>
      <c r="O43"/>
      <c r="P43" t="s">
        <v>32</v>
      </c>
      <c r="Q43"/>
      <c r="R43"/>
    </row>
    <row r="44" spans="1:18" ht="11.25">
      <c r="A44" s="20"/>
      <c r="B44" s="22"/>
      <c r="C44" s="4"/>
      <c r="D44" s="4"/>
      <c r="E44" s="3"/>
      <c r="F44" s="29" t="s">
        <v>216</v>
      </c>
      <c r="G44" s="332">
        <f>(G11+G18)/SUM(G33:H36)</f>
        <v>663.0048465266559</v>
      </c>
      <c r="H44" s="332"/>
      <c r="I44" s="22"/>
      <c r="J44" s="332">
        <f>(J11+J18)/SUM(J33:K36)</f>
        <v>606.3096960926194</v>
      </c>
      <c r="K44" s="332"/>
      <c r="L44" s="22"/>
      <c r="M44" s="332">
        <f>(M11+M18)/SUM(M33:N36)</f>
        <v>582.7988338192421</v>
      </c>
      <c r="N44" s="332"/>
      <c r="O44"/>
      <c r="P44"/>
      <c r="Q44"/>
      <c r="R44"/>
    </row>
    <row r="45" spans="1:17" ht="11.25">
      <c r="A45" s="20"/>
      <c r="B45" s="4"/>
      <c r="C45" s="4"/>
      <c r="D45" s="4"/>
      <c r="E45" s="3"/>
      <c r="F45" s="3"/>
      <c r="G45" s="34" t="s">
        <v>24</v>
      </c>
      <c r="H45" s="34" t="s">
        <v>23</v>
      </c>
      <c r="I45" s="28"/>
      <c r="J45" s="34" t="s">
        <v>24</v>
      </c>
      <c r="K45" s="34" t="s">
        <v>23</v>
      </c>
      <c r="L45" s="28"/>
      <c r="M45" s="34" t="s">
        <v>24</v>
      </c>
      <c r="N45" s="35" t="s">
        <v>23</v>
      </c>
      <c r="O45" s="14"/>
      <c r="P45" s="13"/>
      <c r="Q45" s="31"/>
    </row>
    <row r="46" spans="1:22" ht="11.25">
      <c r="A46" s="20"/>
      <c r="B46" s="4"/>
      <c r="C46" s="4"/>
      <c r="D46" s="52"/>
      <c r="E46" s="53"/>
      <c r="F46" s="54" t="s">
        <v>25</v>
      </c>
      <c r="G46" s="76">
        <v>14</v>
      </c>
      <c r="H46" s="32">
        <f>G46/SUM($G$46:$G$49)</f>
        <v>0.49295774647887325</v>
      </c>
      <c r="I46" s="28"/>
      <c r="J46" s="76">
        <v>13</v>
      </c>
      <c r="K46" s="32">
        <f>J46/SUM($J$46:$J$49)</f>
        <v>0.38134350249339977</v>
      </c>
      <c r="L46" s="28"/>
      <c r="M46" s="76">
        <v>13</v>
      </c>
      <c r="N46" s="36">
        <f>M46/SUM($M$46:$M$49)</f>
        <v>0.4181408813123191</v>
      </c>
      <c r="O46" s="14"/>
      <c r="P46" s="55" t="s">
        <v>84</v>
      </c>
      <c r="Q46" s="51"/>
      <c r="R46" s="55"/>
      <c r="S46" s="55"/>
      <c r="T46" s="55"/>
      <c r="U46" s="55"/>
      <c r="V46" s="55"/>
    </row>
    <row r="47" spans="1:22" ht="11.25">
      <c r="A47" s="20"/>
      <c r="B47" s="4"/>
      <c r="C47" s="4"/>
      <c r="D47" s="52"/>
      <c r="E47" s="53"/>
      <c r="F47" s="54" t="s">
        <v>13</v>
      </c>
      <c r="G47" s="76">
        <v>12</v>
      </c>
      <c r="H47" s="32">
        <f aca="true" t="shared" si="0" ref="H47:H49">G47/SUM($G$46:$G$49)</f>
        <v>0.4225352112676057</v>
      </c>
      <c r="I47" s="28"/>
      <c r="J47" s="76">
        <v>11</v>
      </c>
      <c r="K47" s="32">
        <f aca="true" t="shared" si="1" ref="K47:K49">J47/SUM($J$46:$J$49)</f>
        <v>0.32267527134056906</v>
      </c>
      <c r="L47" s="28"/>
      <c r="M47" s="76">
        <v>10</v>
      </c>
      <c r="N47" s="36">
        <f aca="true" t="shared" si="2" ref="N47:N49">M47/SUM($M$46:$M$49)</f>
        <v>0.32164683177870695</v>
      </c>
      <c r="O47" s="14"/>
      <c r="P47" s="55" t="s">
        <v>84</v>
      </c>
      <c r="Q47" s="51"/>
      <c r="R47" s="55"/>
      <c r="S47" s="55"/>
      <c r="T47" s="55"/>
      <c r="U47" s="55"/>
      <c r="V47" s="55"/>
    </row>
    <row r="48" spans="1:22" ht="11.25">
      <c r="A48" s="20"/>
      <c r="B48" s="4"/>
      <c r="C48" s="4"/>
      <c r="D48" s="52"/>
      <c r="E48" s="53"/>
      <c r="F48" s="54" t="s">
        <v>51</v>
      </c>
      <c r="G48" s="76">
        <v>2.4</v>
      </c>
      <c r="H48" s="32">
        <f t="shared" si="0"/>
        <v>0.08450704225352113</v>
      </c>
      <c r="I48" s="28"/>
      <c r="J48" s="76">
        <v>10.09</v>
      </c>
      <c r="K48" s="32">
        <f t="shared" si="1"/>
        <v>0.29598122616603106</v>
      </c>
      <c r="L48" s="28"/>
      <c r="M48" s="77">
        <v>8.09</v>
      </c>
      <c r="N48" s="36">
        <f t="shared" si="2"/>
        <v>0.26021228690897397</v>
      </c>
      <c r="O48" s="14"/>
      <c r="P48" s="55" t="s">
        <v>85</v>
      </c>
      <c r="Q48" s="51"/>
      <c r="R48" s="55"/>
      <c r="S48" s="55"/>
      <c r="T48" s="55"/>
      <c r="U48" s="55"/>
      <c r="V48" s="55"/>
    </row>
    <row r="49" spans="1:22" ht="11.25">
      <c r="A49" s="20"/>
      <c r="B49" s="4"/>
      <c r="C49" s="4"/>
      <c r="D49" s="52"/>
      <c r="E49" s="53"/>
      <c r="F49" s="54" t="s">
        <v>52</v>
      </c>
      <c r="G49" s="76">
        <v>0</v>
      </c>
      <c r="H49" s="32">
        <f t="shared" si="0"/>
        <v>0</v>
      </c>
      <c r="I49" s="28"/>
      <c r="J49" s="76">
        <v>0</v>
      </c>
      <c r="K49" s="32">
        <f t="shared" si="1"/>
        <v>0</v>
      </c>
      <c r="L49" s="28"/>
      <c r="M49" s="76">
        <v>0</v>
      </c>
      <c r="N49" s="36">
        <f t="shared" si="2"/>
        <v>0</v>
      </c>
      <c r="O49" s="14"/>
      <c r="P49" s="55" t="s">
        <v>85</v>
      </c>
      <c r="Q49" s="51"/>
      <c r="R49" s="55"/>
      <c r="S49" s="55"/>
      <c r="T49" s="55"/>
      <c r="U49" s="55"/>
      <c r="V49" s="55"/>
    </row>
    <row r="50" spans="1:14" ht="11.25">
      <c r="A50" s="21" t="s">
        <v>4</v>
      </c>
      <c r="B50" s="22"/>
      <c r="C50" s="4"/>
      <c r="D50" s="4"/>
      <c r="E50" s="3"/>
      <c r="F50" s="3"/>
      <c r="G50" s="8"/>
      <c r="H50" s="8"/>
      <c r="I50" s="3"/>
      <c r="J50" s="8"/>
      <c r="K50" s="8"/>
      <c r="L50" s="3"/>
      <c r="M50" s="8"/>
      <c r="N50" s="25"/>
    </row>
    <row r="51" spans="1:16" ht="11.25">
      <c r="A51" s="21"/>
      <c r="B51" s="22"/>
      <c r="C51" s="4"/>
      <c r="D51" s="4"/>
      <c r="E51" s="3"/>
      <c r="F51" s="63" t="s">
        <v>77</v>
      </c>
      <c r="G51" s="293">
        <v>0.978</v>
      </c>
      <c r="H51" s="294"/>
      <c r="I51" s="72"/>
      <c r="J51" s="293">
        <v>0.974</v>
      </c>
      <c r="K51" s="294"/>
      <c r="L51" s="72"/>
      <c r="M51" s="293">
        <v>0.958</v>
      </c>
      <c r="N51" s="295"/>
      <c r="P51" s="10" t="s">
        <v>87</v>
      </c>
    </row>
    <row r="52" spans="1:16" ht="11.25">
      <c r="A52" s="21"/>
      <c r="B52" s="22"/>
      <c r="C52" s="4"/>
      <c r="D52" s="4"/>
      <c r="E52" s="3"/>
      <c r="F52" s="63" t="s">
        <v>76</v>
      </c>
      <c r="G52" s="293">
        <v>0.054</v>
      </c>
      <c r="H52" s="294"/>
      <c r="I52" s="72"/>
      <c r="J52" s="293">
        <v>0.052</v>
      </c>
      <c r="K52" s="294"/>
      <c r="L52" s="72"/>
      <c r="M52" s="293">
        <v>0.071</v>
      </c>
      <c r="N52" s="295"/>
      <c r="P52" s="10" t="s">
        <v>79</v>
      </c>
    </row>
    <row r="53" spans="1:16" ht="11" customHeight="1">
      <c r="A53" s="20"/>
      <c r="B53" s="23"/>
      <c r="C53" s="4"/>
      <c r="D53" s="4"/>
      <c r="E53" s="3"/>
      <c r="F53" s="29" t="s">
        <v>10</v>
      </c>
      <c r="G53" s="296">
        <v>7</v>
      </c>
      <c r="H53" s="297"/>
      <c r="I53" s="3"/>
      <c r="J53" s="296">
        <v>5</v>
      </c>
      <c r="K53" s="297"/>
      <c r="L53" s="3"/>
      <c r="M53" s="296">
        <v>3</v>
      </c>
      <c r="N53" s="298"/>
      <c r="P53" s="10" t="s">
        <v>34</v>
      </c>
    </row>
    <row r="54" spans="1:16" ht="11.25">
      <c r="A54" s="20"/>
      <c r="B54" s="23"/>
      <c r="C54" s="4"/>
      <c r="D54" s="4"/>
      <c r="E54" s="3"/>
      <c r="F54" s="29" t="s">
        <v>8</v>
      </c>
      <c r="G54" s="296">
        <v>17</v>
      </c>
      <c r="H54" s="297"/>
      <c r="I54" s="14"/>
      <c r="J54" s="296">
        <v>16</v>
      </c>
      <c r="K54" s="297"/>
      <c r="L54" s="14"/>
      <c r="M54" s="296">
        <v>16</v>
      </c>
      <c r="N54" s="298"/>
      <c r="P54" s="10" t="s">
        <v>36</v>
      </c>
    </row>
    <row r="55" spans="1:16" ht="11.25">
      <c r="A55" s="20"/>
      <c r="B55" s="23"/>
      <c r="C55" s="4"/>
      <c r="D55" s="4"/>
      <c r="E55" s="3"/>
      <c r="F55" s="42" t="s">
        <v>11</v>
      </c>
      <c r="G55" s="296">
        <v>13.2</v>
      </c>
      <c r="H55" s="297"/>
      <c r="I55" s="3"/>
      <c r="J55" s="296">
        <v>13.4</v>
      </c>
      <c r="K55" s="297"/>
      <c r="L55" s="3"/>
      <c r="M55" s="296">
        <v>13</v>
      </c>
      <c r="N55" s="298"/>
      <c r="P55" s="10" t="s">
        <v>42</v>
      </c>
    </row>
    <row r="56" spans="1:19" ht="11.25">
      <c r="A56" s="20"/>
      <c r="B56" s="22"/>
      <c r="C56" s="4"/>
      <c r="D56" s="4"/>
      <c r="E56" s="3"/>
      <c r="F56" s="29" t="s">
        <v>9</v>
      </c>
      <c r="G56" s="293">
        <v>0.64</v>
      </c>
      <c r="H56" s="294"/>
      <c r="I56" s="3"/>
      <c r="J56" s="293">
        <v>0.68</v>
      </c>
      <c r="K56" s="294"/>
      <c r="L56" s="3"/>
      <c r="M56" s="293">
        <v>0.65</v>
      </c>
      <c r="N56" s="295"/>
      <c r="P56" s="10" t="s">
        <v>37</v>
      </c>
      <c r="Q56"/>
      <c r="R56"/>
      <c r="S56"/>
    </row>
    <row r="57" spans="1:19" ht="11.25">
      <c r="A57" s="20"/>
      <c r="B57" s="22"/>
      <c r="C57" s="4"/>
      <c r="D57" s="4"/>
      <c r="E57" s="27"/>
      <c r="F57" s="29" t="s">
        <v>12</v>
      </c>
      <c r="G57" s="296">
        <v>5</v>
      </c>
      <c r="H57" s="297"/>
      <c r="I57" s="28"/>
      <c r="J57" s="296">
        <v>3</v>
      </c>
      <c r="K57" s="297"/>
      <c r="L57" s="28"/>
      <c r="M57" s="296">
        <v>4</v>
      </c>
      <c r="N57" s="298"/>
      <c r="P57" s="10" t="s">
        <v>38</v>
      </c>
      <c r="Q57"/>
      <c r="R57"/>
      <c r="S57"/>
    </row>
    <row r="58" spans="1:19" ht="11.25">
      <c r="A58" s="20"/>
      <c r="B58" s="22"/>
      <c r="C58" s="4"/>
      <c r="D58" s="4"/>
      <c r="E58" s="3"/>
      <c r="F58" s="29" t="s">
        <v>19</v>
      </c>
      <c r="G58" s="293">
        <v>0.235</v>
      </c>
      <c r="H58" s="294"/>
      <c r="I58" s="28"/>
      <c r="J58" s="293">
        <v>0.2</v>
      </c>
      <c r="K58" s="294"/>
      <c r="L58" s="28"/>
      <c r="M58" s="293">
        <v>0.228</v>
      </c>
      <c r="N58" s="295"/>
      <c r="P58" s="10" t="s">
        <v>39</v>
      </c>
      <c r="Q58"/>
      <c r="R58"/>
      <c r="S58"/>
    </row>
    <row r="59" spans="1:19" ht="11.25">
      <c r="A59" s="20"/>
      <c r="B59" s="22"/>
      <c r="C59" s="4"/>
      <c r="D59" s="4"/>
      <c r="E59" s="3"/>
      <c r="F59" s="29" t="s">
        <v>0</v>
      </c>
      <c r="G59" s="293">
        <v>0</v>
      </c>
      <c r="H59" s="294"/>
      <c r="I59" s="28"/>
      <c r="J59" s="293">
        <v>0.007</v>
      </c>
      <c r="K59" s="294"/>
      <c r="L59" s="28"/>
      <c r="M59" s="293">
        <v>-0.007</v>
      </c>
      <c r="N59" s="295"/>
      <c r="P59" s="10" t="s">
        <v>40</v>
      </c>
      <c r="Q59"/>
      <c r="R59"/>
      <c r="S59"/>
    </row>
    <row r="60" spans="1:14" ht="11.25">
      <c r="A60" s="21" t="s">
        <v>1</v>
      </c>
      <c r="B60" s="28"/>
      <c r="C60" s="28"/>
      <c r="D60" s="28"/>
      <c r="E60" s="28"/>
      <c r="F60" s="28"/>
      <c r="G60" s="28"/>
      <c r="H60" s="28"/>
      <c r="I60" s="28"/>
      <c r="J60" s="28"/>
      <c r="K60" s="28"/>
      <c r="L60" s="28"/>
      <c r="M60" s="28"/>
      <c r="N60" s="33"/>
    </row>
    <row r="61" spans="1:16" ht="11" customHeight="1">
      <c r="A61" s="37"/>
      <c r="B61" s="28"/>
      <c r="C61" s="28"/>
      <c r="D61" s="28"/>
      <c r="E61" s="28"/>
      <c r="F61" s="28"/>
      <c r="G61" s="28"/>
      <c r="H61" s="28"/>
      <c r="I61" s="28"/>
      <c r="J61" s="28"/>
      <c r="K61" s="28"/>
      <c r="L61" s="28"/>
      <c r="M61" s="28"/>
      <c r="N61" s="33"/>
      <c r="P61" t="s">
        <v>35</v>
      </c>
    </row>
    <row r="62" spans="1:14" ht="11.25">
      <c r="A62" s="38"/>
      <c r="B62" s="23"/>
      <c r="C62" s="23"/>
      <c r="D62" s="23"/>
      <c r="E62" s="23"/>
      <c r="F62" s="23"/>
      <c r="G62" s="23"/>
      <c r="H62" s="23"/>
      <c r="I62" s="23"/>
      <c r="J62" s="23"/>
      <c r="K62" s="23"/>
      <c r="L62" s="23"/>
      <c r="M62" s="23"/>
      <c r="N62" s="24"/>
    </row>
    <row r="63" spans="1:14" ht="11.25">
      <c r="A63" s="38"/>
      <c r="B63" s="23"/>
      <c r="C63" s="23"/>
      <c r="D63" s="23"/>
      <c r="E63" s="23"/>
      <c r="F63" s="23"/>
      <c r="G63" s="23"/>
      <c r="H63" s="23"/>
      <c r="I63" s="23"/>
      <c r="J63" s="23"/>
      <c r="K63" s="23"/>
      <c r="L63" s="23"/>
      <c r="M63" s="23"/>
      <c r="N63" s="24"/>
    </row>
    <row r="64" spans="1:16" ht="11.25">
      <c r="A64" s="38"/>
      <c r="B64" s="23"/>
      <c r="C64" s="23"/>
      <c r="D64" s="23"/>
      <c r="E64" s="23"/>
      <c r="F64" s="23"/>
      <c r="G64" s="23"/>
      <c r="H64" s="23"/>
      <c r="I64" s="23"/>
      <c r="J64" s="23"/>
      <c r="K64" s="23"/>
      <c r="L64" s="23"/>
      <c r="M64" s="23"/>
      <c r="N64" s="24"/>
      <c r="P64" s="44" t="s">
        <v>41</v>
      </c>
    </row>
    <row r="65" spans="1:14" ht="11.25">
      <c r="A65" s="38"/>
      <c r="B65" s="23"/>
      <c r="C65" s="23"/>
      <c r="D65" s="23"/>
      <c r="E65" s="23"/>
      <c r="F65" s="23"/>
      <c r="G65" s="23"/>
      <c r="H65" s="23"/>
      <c r="I65" s="23"/>
      <c r="J65" s="23"/>
      <c r="K65" s="23"/>
      <c r="L65" s="23"/>
      <c r="M65" s="23"/>
      <c r="N65" s="24"/>
    </row>
    <row r="66" spans="1:14" ht="12.75" thickBot="1">
      <c r="A66" s="39"/>
      <c r="B66" s="40"/>
      <c r="C66" s="40"/>
      <c r="D66" s="40"/>
      <c r="E66" s="40"/>
      <c r="F66" s="40"/>
      <c r="G66" s="40"/>
      <c r="H66" s="40"/>
      <c r="I66" s="40"/>
      <c r="J66" s="40"/>
      <c r="K66" s="40"/>
      <c r="L66" s="40"/>
      <c r="M66" s="40"/>
      <c r="N66" s="41"/>
    </row>
  </sheetData>
  <mergeCells count="122">
    <mergeCell ref="G5:H5"/>
    <mergeCell ref="G6:H6"/>
    <mergeCell ref="G7:H7"/>
    <mergeCell ref="G8:H8"/>
    <mergeCell ref="G9:H9"/>
    <mergeCell ref="J9:K9"/>
    <mergeCell ref="G2:N2"/>
    <mergeCell ref="G3:H3"/>
    <mergeCell ref="J3:K3"/>
    <mergeCell ref="M3:N3"/>
    <mergeCell ref="G4:H4"/>
    <mergeCell ref="J4:K4"/>
    <mergeCell ref="M4:N4"/>
    <mergeCell ref="G13:H13"/>
    <mergeCell ref="J13:K13"/>
    <mergeCell ref="M13:N13"/>
    <mergeCell ref="G14:H14"/>
    <mergeCell ref="J14:K14"/>
    <mergeCell ref="M14:N14"/>
    <mergeCell ref="M9:N9"/>
    <mergeCell ref="G11:H11"/>
    <mergeCell ref="J11:K11"/>
    <mergeCell ref="M11:N11"/>
    <mergeCell ref="G12:H12"/>
    <mergeCell ref="J12:K12"/>
    <mergeCell ref="M12:N12"/>
    <mergeCell ref="G18:H18"/>
    <mergeCell ref="J18:K18"/>
    <mergeCell ref="M18:N18"/>
    <mergeCell ref="G19:H19"/>
    <mergeCell ref="J19:K19"/>
    <mergeCell ref="M19:N19"/>
    <mergeCell ref="G15:H15"/>
    <mergeCell ref="J15:K15"/>
    <mergeCell ref="M15:N15"/>
    <mergeCell ref="G16:H16"/>
    <mergeCell ref="J16:K16"/>
    <mergeCell ref="M16:N16"/>
    <mergeCell ref="G22:H22"/>
    <mergeCell ref="J22:K22"/>
    <mergeCell ref="M22:N22"/>
    <mergeCell ref="G24:H24"/>
    <mergeCell ref="J24:K24"/>
    <mergeCell ref="M24:N24"/>
    <mergeCell ref="G20:H20"/>
    <mergeCell ref="J20:K20"/>
    <mergeCell ref="M20:N20"/>
    <mergeCell ref="G21:H21"/>
    <mergeCell ref="J21:K21"/>
    <mergeCell ref="M21:N21"/>
    <mergeCell ref="G28:H28"/>
    <mergeCell ref="J28:K28"/>
    <mergeCell ref="M28:N28"/>
    <mergeCell ref="G29:H29"/>
    <mergeCell ref="J29:K29"/>
    <mergeCell ref="M29:N29"/>
    <mergeCell ref="G25:H25"/>
    <mergeCell ref="J25:K25"/>
    <mergeCell ref="M25:N25"/>
    <mergeCell ref="G27:H27"/>
    <mergeCell ref="J27:K27"/>
    <mergeCell ref="M27:N27"/>
    <mergeCell ref="G34:H34"/>
    <mergeCell ref="J34:K34"/>
    <mergeCell ref="M34:N34"/>
    <mergeCell ref="G35:H35"/>
    <mergeCell ref="J35:K35"/>
    <mergeCell ref="M35:N35"/>
    <mergeCell ref="G31:H31"/>
    <mergeCell ref="J31:K31"/>
    <mergeCell ref="M31:N31"/>
    <mergeCell ref="G33:H33"/>
    <mergeCell ref="J33:K33"/>
    <mergeCell ref="M33:N33"/>
    <mergeCell ref="G39:H39"/>
    <mergeCell ref="J39:K39"/>
    <mergeCell ref="M39:N39"/>
    <mergeCell ref="G40:H40"/>
    <mergeCell ref="J40:K40"/>
    <mergeCell ref="M40:N40"/>
    <mergeCell ref="G36:H36"/>
    <mergeCell ref="J36:K36"/>
    <mergeCell ref="M36:N36"/>
    <mergeCell ref="G38:H38"/>
    <mergeCell ref="J38:K38"/>
    <mergeCell ref="M38:N38"/>
    <mergeCell ref="G51:H51"/>
    <mergeCell ref="J51:K51"/>
    <mergeCell ref="M51:N51"/>
    <mergeCell ref="G52:H52"/>
    <mergeCell ref="J52:K52"/>
    <mergeCell ref="M52:N52"/>
    <mergeCell ref="G41:H41"/>
    <mergeCell ref="J41:K41"/>
    <mergeCell ref="M41:N41"/>
    <mergeCell ref="G43:H43"/>
    <mergeCell ref="J43:K43"/>
    <mergeCell ref="M43:N43"/>
    <mergeCell ref="G59:H59"/>
    <mergeCell ref="J59:K59"/>
    <mergeCell ref="M59:N59"/>
    <mergeCell ref="G44:H44"/>
    <mergeCell ref="J44:K44"/>
    <mergeCell ref="M44:N44"/>
    <mergeCell ref="G57:H57"/>
    <mergeCell ref="J57:K57"/>
    <mergeCell ref="M57:N57"/>
    <mergeCell ref="G58:H58"/>
    <mergeCell ref="J58:K58"/>
    <mergeCell ref="M58:N58"/>
    <mergeCell ref="G55:H55"/>
    <mergeCell ref="J55:K55"/>
    <mergeCell ref="M55:N55"/>
    <mergeCell ref="G56:H56"/>
    <mergeCell ref="J56:K56"/>
    <mergeCell ref="M56:N56"/>
    <mergeCell ref="G53:H53"/>
    <mergeCell ref="J53:K53"/>
    <mergeCell ref="M53:N53"/>
    <mergeCell ref="G54:H54"/>
    <mergeCell ref="J54:K54"/>
    <mergeCell ref="M54:N54"/>
  </mergeCells>
  <printOptions/>
  <pageMargins left="0.25" right="0.25" top="0.75" bottom="0.75" header="0.3" footer="0.3"/>
  <pageSetup fitToHeight="1" fitToWidth="1" horizontalDpi="1200" verticalDpi="1200" orientation="portrait" scale="94" r:id="rId3"/>
  <colBreaks count="1" manualBreakCount="1">
    <brk id="14" max="16383" man="1"/>
  </colBreaks>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V66"/>
  <sheetViews>
    <sheetView showGridLines="0" workbookViewId="0" topLeftCell="A16">
      <selection activeCell="M43" sqref="M43:N43"/>
    </sheetView>
  </sheetViews>
  <sheetFormatPr defaultColWidth="9.00390625" defaultRowHeight="11.25"/>
  <cols>
    <col min="1" max="1" width="4.625" style="1" customWidth="1"/>
    <col min="2" max="5" width="9.00390625" style="1" customWidth="1"/>
    <col min="6" max="6" width="7.125" style="1" customWidth="1"/>
    <col min="7" max="8" width="9.125" style="1" customWidth="1"/>
    <col min="9" max="9" width="1.75390625" style="1" customWidth="1"/>
    <col min="10" max="11" width="9.125" style="1" customWidth="1"/>
    <col min="12" max="12" width="1.75390625" style="1" customWidth="1"/>
    <col min="13" max="14" width="9.125" style="1" customWidth="1"/>
    <col min="15" max="15" width="3.75390625" style="10" customWidth="1"/>
    <col min="16" max="16384" width="9.00390625" style="10" customWidth="1"/>
  </cols>
  <sheetData>
    <row r="1" spans="1:14" s="12" customFormat="1" ht="11.25">
      <c r="A1" s="17" t="s">
        <v>88</v>
      </c>
      <c r="B1" s="18"/>
      <c r="C1" s="18"/>
      <c r="D1" s="18"/>
      <c r="E1" s="18"/>
      <c r="F1" s="18"/>
      <c r="G1" s="18"/>
      <c r="H1" s="18"/>
      <c r="I1" s="18"/>
      <c r="J1" s="18"/>
      <c r="K1" s="18"/>
      <c r="L1" s="18"/>
      <c r="M1" s="18"/>
      <c r="N1" s="19"/>
    </row>
    <row r="2" spans="1:16" s="12" customFormat="1" ht="11.25">
      <c r="A2" s="20" t="s">
        <v>89</v>
      </c>
      <c r="B2" s="15"/>
      <c r="C2" s="15"/>
      <c r="D2" s="15"/>
      <c r="E2" s="15"/>
      <c r="F2" s="15"/>
      <c r="G2" s="328" t="s">
        <v>26</v>
      </c>
      <c r="H2" s="328"/>
      <c r="I2" s="328"/>
      <c r="J2" s="328"/>
      <c r="K2" s="328"/>
      <c r="L2" s="328"/>
      <c r="M2" s="328"/>
      <c r="N2" s="329"/>
      <c r="P2" s="43" t="s">
        <v>27</v>
      </c>
    </row>
    <row r="3" spans="1:14" ht="11.25">
      <c r="A3" s="45"/>
      <c r="B3" s="2"/>
      <c r="C3" s="2"/>
      <c r="D3" s="2"/>
      <c r="E3" s="2"/>
      <c r="F3" s="16" t="s">
        <v>14</v>
      </c>
      <c r="G3" s="330">
        <v>19</v>
      </c>
      <c r="H3" s="327"/>
      <c r="I3" s="2"/>
      <c r="J3" s="330">
        <v>18</v>
      </c>
      <c r="K3" s="327"/>
      <c r="L3" s="2"/>
      <c r="M3" s="330">
        <v>17</v>
      </c>
      <c r="N3" s="331"/>
    </row>
    <row r="4" spans="1:14" ht="11.25">
      <c r="A4" s="20"/>
      <c r="B4" s="2"/>
      <c r="C4" s="2"/>
      <c r="D4" s="2"/>
      <c r="E4" s="2"/>
      <c r="F4" s="16" t="s">
        <v>15</v>
      </c>
      <c r="G4" s="330" t="s">
        <v>80</v>
      </c>
      <c r="H4" s="327"/>
      <c r="I4" s="2"/>
      <c r="J4" s="330" t="s">
        <v>81</v>
      </c>
      <c r="K4" s="327"/>
      <c r="L4" s="2"/>
      <c r="M4" s="330" t="s">
        <v>82</v>
      </c>
      <c r="N4" s="331"/>
    </row>
    <row r="5" spans="1:14" ht="11.25">
      <c r="A5" s="20"/>
      <c r="B5" s="2"/>
      <c r="C5" s="2"/>
      <c r="D5" s="2"/>
      <c r="E5" s="2"/>
      <c r="F5" s="16" t="s">
        <v>16</v>
      </c>
      <c r="G5" s="321" t="s">
        <v>102</v>
      </c>
      <c r="H5" s="322"/>
      <c r="I5" s="2"/>
      <c r="J5" s="28"/>
      <c r="K5" s="28"/>
      <c r="L5" s="28"/>
      <c r="M5" s="28"/>
      <c r="N5" s="33"/>
    </row>
    <row r="6" spans="1:14" ht="11.25">
      <c r="A6" s="20"/>
      <c r="B6" s="2"/>
      <c r="C6" s="2"/>
      <c r="D6" s="2"/>
      <c r="E6" s="2"/>
      <c r="F6" s="16" t="s">
        <v>17</v>
      </c>
      <c r="G6" s="323" t="s">
        <v>119</v>
      </c>
      <c r="H6" s="323"/>
      <c r="I6" s="2"/>
      <c r="J6" s="28"/>
      <c r="K6" s="28"/>
      <c r="L6" s="28"/>
      <c r="M6" s="28"/>
      <c r="N6" s="33"/>
    </row>
    <row r="7" spans="1:14" ht="11.25">
      <c r="A7" s="20"/>
      <c r="B7" s="2"/>
      <c r="C7" s="2"/>
      <c r="D7" s="2"/>
      <c r="E7" s="2"/>
      <c r="F7" s="16" t="s">
        <v>33</v>
      </c>
      <c r="G7" s="324" t="s">
        <v>101</v>
      </c>
      <c r="H7" s="325"/>
      <c r="I7" s="2"/>
      <c r="J7" s="28"/>
      <c r="K7" s="28"/>
      <c r="L7" s="28"/>
      <c r="M7" s="28"/>
      <c r="N7" s="33"/>
    </row>
    <row r="8" spans="1:14" ht="11.25">
      <c r="A8" s="20"/>
      <c r="B8" s="2"/>
      <c r="C8" s="2"/>
      <c r="D8" s="2"/>
      <c r="E8" s="2"/>
      <c r="F8" s="16" t="s">
        <v>18</v>
      </c>
      <c r="G8" s="326">
        <v>43929</v>
      </c>
      <c r="H8" s="327"/>
      <c r="I8" s="2"/>
      <c r="J8" s="28"/>
      <c r="K8" s="28"/>
      <c r="L8" s="28"/>
      <c r="M8" s="28"/>
      <c r="N8" s="33"/>
    </row>
    <row r="9" spans="1:14" ht="12.75">
      <c r="A9" s="21" t="s">
        <v>2</v>
      </c>
      <c r="B9" s="22"/>
      <c r="C9" s="4"/>
      <c r="D9" s="4"/>
      <c r="E9" s="3"/>
      <c r="F9" s="3"/>
      <c r="G9" s="319"/>
      <c r="H9" s="319"/>
      <c r="I9" s="3"/>
      <c r="J9" s="319"/>
      <c r="K9" s="319"/>
      <c r="L9" s="3"/>
      <c r="M9" s="319"/>
      <c r="N9" s="320"/>
    </row>
    <row r="10" spans="1:15" ht="12.75">
      <c r="A10" s="20"/>
      <c r="B10" s="22" t="s">
        <v>56</v>
      </c>
      <c r="C10" s="4"/>
      <c r="D10" s="4"/>
      <c r="E10" s="3"/>
      <c r="F10" s="29"/>
      <c r="G10" s="58"/>
      <c r="H10" s="58"/>
      <c r="I10" s="5"/>
      <c r="J10" s="58"/>
      <c r="K10" s="58"/>
      <c r="L10" s="5"/>
      <c r="M10" s="58"/>
      <c r="N10" s="59"/>
      <c r="O10" s="11"/>
    </row>
    <row r="11" spans="1:16" ht="11.25">
      <c r="A11" s="20"/>
      <c r="B11" s="22"/>
      <c r="C11" s="6"/>
      <c r="D11" s="6"/>
      <c r="E11" s="7"/>
      <c r="F11" s="30" t="s">
        <v>7</v>
      </c>
      <c r="G11" s="313">
        <v>6264</v>
      </c>
      <c r="H11" s="314"/>
      <c r="I11" s="5"/>
      <c r="J11" s="313">
        <v>5658</v>
      </c>
      <c r="K11" s="314"/>
      <c r="L11" s="5"/>
      <c r="M11" s="313">
        <v>5701</v>
      </c>
      <c r="N11" s="315"/>
      <c r="P11" s="10" t="s">
        <v>28</v>
      </c>
    </row>
    <row r="12" spans="1:16" ht="12.75">
      <c r="A12" s="20"/>
      <c r="B12" s="22"/>
      <c r="C12" s="4"/>
      <c r="D12" s="4"/>
      <c r="E12" s="3"/>
      <c r="F12" s="29" t="s">
        <v>5</v>
      </c>
      <c r="G12" s="316">
        <v>0.048</v>
      </c>
      <c r="H12" s="317"/>
      <c r="I12" s="5"/>
      <c r="J12" s="316">
        <v>-0.008</v>
      </c>
      <c r="K12" s="317"/>
      <c r="L12" s="5"/>
      <c r="M12" s="316">
        <v>0.027</v>
      </c>
      <c r="N12" s="318"/>
      <c r="O12" s="11"/>
      <c r="P12" s="10" t="s">
        <v>29</v>
      </c>
    </row>
    <row r="13" spans="1:16" ht="12.75">
      <c r="A13" s="20"/>
      <c r="B13" s="22"/>
      <c r="C13" s="4"/>
      <c r="D13" s="4"/>
      <c r="E13" s="3"/>
      <c r="F13" s="29" t="s">
        <v>53</v>
      </c>
      <c r="G13" s="313">
        <v>1</v>
      </c>
      <c r="H13" s="314"/>
      <c r="I13" s="5"/>
      <c r="J13" s="313">
        <v>1</v>
      </c>
      <c r="K13" s="314"/>
      <c r="L13" s="5"/>
      <c r="M13" s="313">
        <v>1</v>
      </c>
      <c r="N13" s="315"/>
      <c r="O13" s="11"/>
      <c r="P13" s="10" t="s">
        <v>71</v>
      </c>
    </row>
    <row r="14" spans="1:16" ht="12.75">
      <c r="A14" s="20"/>
      <c r="B14" s="22"/>
      <c r="C14" s="4"/>
      <c r="D14" s="4"/>
      <c r="E14" s="3"/>
      <c r="F14" s="29" t="s">
        <v>54</v>
      </c>
      <c r="G14" s="313">
        <f>132+8+8</f>
        <v>148</v>
      </c>
      <c r="H14" s="314"/>
      <c r="I14" s="5"/>
      <c r="J14" s="313">
        <f>169+6</f>
        <v>175</v>
      </c>
      <c r="K14" s="314"/>
      <c r="L14" s="5"/>
      <c r="M14" s="313">
        <f>139+9</f>
        <v>148</v>
      </c>
      <c r="N14" s="315"/>
      <c r="O14" s="11"/>
      <c r="P14" s="10" t="s">
        <v>70</v>
      </c>
    </row>
    <row r="15" spans="1:16" ht="12.75">
      <c r="A15" s="20"/>
      <c r="B15" s="22"/>
      <c r="C15" s="4"/>
      <c r="D15" s="4"/>
      <c r="E15" s="3"/>
      <c r="F15" s="29" t="s">
        <v>55</v>
      </c>
      <c r="G15" s="313">
        <f>4+24</f>
        <v>28</v>
      </c>
      <c r="H15" s="314"/>
      <c r="I15" s="5"/>
      <c r="J15" s="313">
        <f>1+57</f>
        <v>58</v>
      </c>
      <c r="K15" s="314"/>
      <c r="L15" s="5"/>
      <c r="M15" s="313">
        <v>56</v>
      </c>
      <c r="N15" s="315"/>
      <c r="O15" s="11"/>
      <c r="P15" s="10" t="s">
        <v>69</v>
      </c>
    </row>
    <row r="16" spans="1:16" ht="12.75">
      <c r="A16" s="20"/>
      <c r="B16" s="22"/>
      <c r="C16" s="4"/>
      <c r="D16" s="4"/>
      <c r="E16" s="3"/>
      <c r="F16" s="29" t="s">
        <v>78</v>
      </c>
      <c r="G16" s="313">
        <v>66</v>
      </c>
      <c r="H16" s="314"/>
      <c r="I16" s="5"/>
      <c r="J16" s="313">
        <v>73</v>
      </c>
      <c r="K16" s="314"/>
      <c r="L16" s="5"/>
      <c r="M16" s="313">
        <v>44</v>
      </c>
      <c r="N16" s="315"/>
      <c r="O16" s="11"/>
      <c r="P16" s="10" t="s">
        <v>86</v>
      </c>
    </row>
    <row r="17" spans="1:15" ht="12.75">
      <c r="A17" s="20"/>
      <c r="B17" s="22" t="s">
        <v>57</v>
      </c>
      <c r="C17" s="4"/>
      <c r="D17" s="4"/>
      <c r="E17" s="3"/>
      <c r="F17" s="29"/>
      <c r="G17" s="58"/>
      <c r="H17" s="58"/>
      <c r="I17" s="5"/>
      <c r="J17" s="58"/>
      <c r="K17" s="58"/>
      <c r="L17" s="5"/>
      <c r="M17" s="58"/>
      <c r="N17" s="59"/>
      <c r="O17" s="11"/>
    </row>
    <row r="18" spans="1:16" ht="11.25">
      <c r="A18" s="20"/>
      <c r="B18" s="22"/>
      <c r="C18" s="6"/>
      <c r="D18" s="6"/>
      <c r="E18" s="7"/>
      <c r="F18" s="30" t="s">
        <v>7</v>
      </c>
      <c r="G18" s="313"/>
      <c r="H18" s="314"/>
      <c r="I18" s="5"/>
      <c r="J18" s="313"/>
      <c r="K18" s="314"/>
      <c r="L18" s="5"/>
      <c r="M18" s="313"/>
      <c r="N18" s="315"/>
      <c r="P18" s="10" t="s">
        <v>28</v>
      </c>
    </row>
    <row r="19" spans="1:16" ht="12.75">
      <c r="A19" s="20"/>
      <c r="B19" s="22"/>
      <c r="C19" s="4"/>
      <c r="D19" s="4"/>
      <c r="E19" s="3"/>
      <c r="F19" s="29" t="s">
        <v>5</v>
      </c>
      <c r="G19" s="316"/>
      <c r="H19" s="317"/>
      <c r="I19" s="5"/>
      <c r="J19" s="316"/>
      <c r="K19" s="317"/>
      <c r="L19" s="5"/>
      <c r="M19" s="316"/>
      <c r="N19" s="318"/>
      <c r="O19" s="11"/>
      <c r="P19" s="10" t="s">
        <v>29</v>
      </c>
    </row>
    <row r="20" spans="1:16" ht="12.75">
      <c r="A20" s="20"/>
      <c r="B20" s="22"/>
      <c r="C20" s="4"/>
      <c r="D20" s="4"/>
      <c r="E20" s="3"/>
      <c r="F20" s="29" t="s">
        <v>58</v>
      </c>
      <c r="G20" s="313"/>
      <c r="H20" s="314"/>
      <c r="I20" s="5"/>
      <c r="J20" s="313"/>
      <c r="K20" s="314"/>
      <c r="L20" s="5"/>
      <c r="M20" s="313"/>
      <c r="N20" s="315"/>
      <c r="O20" s="11"/>
      <c r="P20" s="10" t="s">
        <v>71</v>
      </c>
    </row>
    <row r="21" spans="1:16" ht="12.75">
      <c r="A21" s="20"/>
      <c r="B21" s="22"/>
      <c r="C21" s="4"/>
      <c r="D21" s="4"/>
      <c r="E21" s="3"/>
      <c r="F21" s="29" t="s">
        <v>59</v>
      </c>
      <c r="G21" s="313"/>
      <c r="H21" s="314"/>
      <c r="I21" s="5"/>
      <c r="J21" s="313"/>
      <c r="K21" s="314"/>
      <c r="L21" s="5"/>
      <c r="M21" s="313"/>
      <c r="N21" s="315"/>
      <c r="O21" s="11"/>
      <c r="P21" s="10" t="s">
        <v>83</v>
      </c>
    </row>
    <row r="22" spans="1:16" ht="12.75">
      <c r="A22" s="20"/>
      <c r="B22" s="22"/>
      <c r="C22" s="4"/>
      <c r="D22" s="4"/>
      <c r="E22" s="3"/>
      <c r="F22" s="29" t="s">
        <v>78</v>
      </c>
      <c r="G22" s="313"/>
      <c r="H22" s="314"/>
      <c r="I22" s="5"/>
      <c r="J22" s="313"/>
      <c r="K22" s="314"/>
      <c r="L22" s="5"/>
      <c r="M22" s="313"/>
      <c r="N22" s="315"/>
      <c r="O22" s="11"/>
      <c r="P22" s="10" t="s">
        <v>86</v>
      </c>
    </row>
    <row r="23" spans="1:14" ht="11.25">
      <c r="A23" s="20"/>
      <c r="B23" s="4" t="s">
        <v>6</v>
      </c>
      <c r="C23" s="4"/>
      <c r="D23" s="4"/>
      <c r="E23" s="3"/>
      <c r="F23" s="3"/>
      <c r="G23" s="23"/>
      <c r="H23" s="23"/>
      <c r="I23" s="5"/>
      <c r="J23" s="23"/>
      <c r="K23" s="23"/>
      <c r="L23" s="5"/>
      <c r="M23" s="23"/>
      <c r="N23" s="24"/>
    </row>
    <row r="24" spans="1:16" ht="11.25">
      <c r="A24" s="20"/>
      <c r="B24" s="22"/>
      <c r="C24" s="4"/>
      <c r="D24" s="4"/>
      <c r="E24" s="3"/>
      <c r="F24" s="29" t="s">
        <v>20</v>
      </c>
      <c r="G24" s="293">
        <v>0.722</v>
      </c>
      <c r="H24" s="294"/>
      <c r="I24" s="3"/>
      <c r="J24" s="293">
        <v>0.753</v>
      </c>
      <c r="K24" s="294"/>
      <c r="L24" s="3"/>
      <c r="M24" s="293">
        <v>0.704</v>
      </c>
      <c r="N24" s="295"/>
      <c r="P24" s="10" t="s">
        <v>30</v>
      </c>
    </row>
    <row r="25" spans="1:16" ht="11.25">
      <c r="A25" s="20"/>
      <c r="B25" s="22"/>
      <c r="C25" s="4"/>
      <c r="D25" s="4"/>
      <c r="E25" s="3"/>
      <c r="F25" s="29" t="s">
        <v>21</v>
      </c>
      <c r="G25" s="293">
        <v>0.278</v>
      </c>
      <c r="H25" s="294"/>
      <c r="I25" s="3"/>
      <c r="J25" s="293">
        <v>0.247</v>
      </c>
      <c r="K25" s="294"/>
      <c r="L25" s="3"/>
      <c r="M25" s="293">
        <v>0.296</v>
      </c>
      <c r="N25" s="295"/>
      <c r="P25" s="10" t="s">
        <v>31</v>
      </c>
    </row>
    <row r="26" spans="1:14" ht="11.25">
      <c r="A26" s="62" t="s">
        <v>60</v>
      </c>
      <c r="B26" s="22"/>
      <c r="C26" s="4"/>
      <c r="D26" s="4"/>
      <c r="E26" s="3"/>
      <c r="F26" s="29"/>
      <c r="G26" s="60"/>
      <c r="H26" s="60"/>
      <c r="I26" s="5"/>
      <c r="J26" s="60"/>
      <c r="K26" s="60"/>
      <c r="L26" s="5"/>
      <c r="M26" s="60"/>
      <c r="N26" s="61"/>
    </row>
    <row r="27" spans="1:16" ht="11.25">
      <c r="A27" s="20"/>
      <c r="B27" s="22"/>
      <c r="C27" s="4"/>
      <c r="D27" s="4"/>
      <c r="E27" s="3"/>
      <c r="F27" s="29" t="s">
        <v>61</v>
      </c>
      <c r="G27" s="313">
        <f>'[2]FY19'!$P$1603-G28</f>
        <v>554574.9725</v>
      </c>
      <c r="H27" s="314"/>
      <c r="I27" s="5"/>
      <c r="J27" s="313">
        <f>'[2]FY18'!$P$1486-J28</f>
        <v>466109.1725000001</v>
      </c>
      <c r="K27" s="314"/>
      <c r="L27" s="5"/>
      <c r="M27" s="313">
        <f>'[2]FY17'!$P$1238-M28</f>
        <v>482015.37</v>
      </c>
      <c r="N27" s="315"/>
      <c r="P27" s="10" t="s">
        <v>91</v>
      </c>
    </row>
    <row r="28" spans="1:16" ht="11.25">
      <c r="A28" s="20"/>
      <c r="B28" s="22"/>
      <c r="C28" s="4"/>
      <c r="D28" s="4"/>
      <c r="E28" s="3"/>
      <c r="F28" s="29" t="s">
        <v>62</v>
      </c>
      <c r="G28" s="313">
        <f>'[2]FY19'!$P$147</f>
        <v>9315.615000000003</v>
      </c>
      <c r="H28" s="314"/>
      <c r="I28" s="5"/>
      <c r="J28" s="313">
        <f>'[2]FY18'!$P$148</f>
        <v>8973.387500000006</v>
      </c>
      <c r="K28" s="314"/>
      <c r="L28" s="5"/>
      <c r="M28" s="313">
        <f>'[2]FY17'!$P$122</f>
        <v>8178.340000000002</v>
      </c>
      <c r="N28" s="315"/>
      <c r="P28" s="10" t="s">
        <v>91</v>
      </c>
    </row>
    <row r="29" spans="1:16" ht="11.25">
      <c r="A29" s="20"/>
      <c r="B29" s="22"/>
      <c r="C29" s="4"/>
      <c r="D29" s="4"/>
      <c r="E29" s="3"/>
      <c r="F29" s="29" t="s">
        <v>63</v>
      </c>
      <c r="G29" s="310">
        <f>'[2]FY19B'!$Q$7954</f>
        <v>175230.77749999997</v>
      </c>
      <c r="H29" s="311"/>
      <c r="I29" s="5"/>
      <c r="J29" s="310">
        <f>'[2]FY18B'!$P$6452</f>
        <v>162834.28</v>
      </c>
      <c r="K29" s="311"/>
      <c r="L29" s="5"/>
      <c r="M29" s="310">
        <f>'[2]FY17B'!$Q$5597</f>
        <v>160424.02500000002</v>
      </c>
      <c r="N29" s="312"/>
      <c r="P29" s="10" t="s">
        <v>90</v>
      </c>
    </row>
    <row r="30" spans="1:14" ht="11.25">
      <c r="A30" s="20"/>
      <c r="B30" s="22"/>
      <c r="C30" s="4"/>
      <c r="D30" s="4"/>
      <c r="E30" s="3"/>
      <c r="F30" s="29"/>
      <c r="G30" s="73"/>
      <c r="H30" s="74"/>
      <c r="I30" s="5"/>
      <c r="J30" s="73"/>
      <c r="K30" s="74"/>
      <c r="L30" s="5"/>
      <c r="M30" s="73"/>
      <c r="N30" s="75"/>
    </row>
    <row r="31" spans="1:18" ht="11.25">
      <c r="A31" s="20"/>
      <c r="B31" s="4"/>
      <c r="C31" s="4"/>
      <c r="D31" s="4"/>
      <c r="E31" s="3"/>
      <c r="F31" s="63" t="s">
        <v>64</v>
      </c>
      <c r="G31" s="299">
        <f>(SUM(G27:G29))/(G11+G18)</f>
        <v>117.9951093550447</v>
      </c>
      <c r="H31" s="300"/>
      <c r="I31" s="22"/>
      <c r="J31" s="299">
        <f>SUM(J27:K29)/(J11+J18)</f>
        <v>112.74599505125488</v>
      </c>
      <c r="K31" s="300"/>
      <c r="L31" s="22"/>
      <c r="M31" s="299">
        <f>SUM(M27:N29)/(M11+M18)</f>
        <v>114.12344062445187</v>
      </c>
      <c r="N31" s="301"/>
      <c r="O31"/>
      <c r="P31" t="s">
        <v>32</v>
      </c>
      <c r="Q31"/>
      <c r="R31"/>
    </row>
    <row r="32" spans="1:14" ht="11.25">
      <c r="A32" s="21" t="s">
        <v>3</v>
      </c>
      <c r="B32" s="22"/>
      <c r="C32" s="4"/>
      <c r="D32" s="4"/>
      <c r="E32" s="3"/>
      <c r="F32" s="3"/>
      <c r="G32" s="8"/>
      <c r="H32" s="8"/>
      <c r="I32" s="3"/>
      <c r="J32" s="8"/>
      <c r="K32" s="8"/>
      <c r="L32" s="3"/>
      <c r="M32" s="8"/>
      <c r="N32" s="25"/>
    </row>
    <row r="33" spans="1:22" ht="11.25">
      <c r="A33" s="20"/>
      <c r="B33" s="22"/>
      <c r="C33" s="4"/>
      <c r="D33" s="48"/>
      <c r="E33" s="49"/>
      <c r="F33" s="50" t="s">
        <v>43</v>
      </c>
      <c r="G33" s="302">
        <v>2.5</v>
      </c>
      <c r="H33" s="303"/>
      <c r="I33" s="56"/>
      <c r="J33" s="302">
        <f>0.1+1.6</f>
        <v>1.7000000000000002</v>
      </c>
      <c r="K33" s="303"/>
      <c r="L33" s="56"/>
      <c r="M33" s="302">
        <f>0.1+1.6</f>
        <v>1.7000000000000002</v>
      </c>
      <c r="N33" s="304"/>
      <c r="O33"/>
      <c r="P33" s="46" t="s">
        <v>47</v>
      </c>
      <c r="Q33" s="47"/>
      <c r="R33" s="47"/>
      <c r="S33" s="46"/>
      <c r="T33" s="46"/>
      <c r="U33" s="46"/>
      <c r="V33" s="46"/>
    </row>
    <row r="34" spans="1:22" ht="11.25">
      <c r="A34" s="20"/>
      <c r="B34" s="22"/>
      <c r="C34" s="4"/>
      <c r="D34" s="48"/>
      <c r="E34" s="49"/>
      <c r="F34" s="50" t="s">
        <v>44</v>
      </c>
      <c r="G34" s="302">
        <f>3.3/36*45</f>
        <v>4.125</v>
      </c>
      <c r="H34" s="303"/>
      <c r="I34" s="56"/>
      <c r="J34" s="302">
        <f>4/36*45</f>
        <v>5</v>
      </c>
      <c r="K34" s="303"/>
      <c r="L34" s="56"/>
      <c r="M34" s="302">
        <f>4/36*45</f>
        <v>5</v>
      </c>
      <c r="N34" s="304"/>
      <c r="O34"/>
      <c r="P34" s="46" t="s">
        <v>48</v>
      </c>
      <c r="Q34" s="47"/>
      <c r="R34" s="47"/>
      <c r="S34" s="46"/>
      <c r="T34" s="46"/>
      <c r="U34" s="46"/>
      <c r="V34" s="46"/>
    </row>
    <row r="35" spans="1:22" ht="11.25">
      <c r="A35" s="20"/>
      <c r="B35" s="22"/>
      <c r="C35" s="4"/>
      <c r="D35" s="48"/>
      <c r="E35" s="49"/>
      <c r="F35" s="50" t="s">
        <v>45</v>
      </c>
      <c r="G35" s="307">
        <f>1.4/36*45</f>
        <v>1.75</v>
      </c>
      <c r="H35" s="308"/>
      <c r="I35" s="56"/>
      <c r="J35" s="307">
        <f>0.1/36*45</f>
        <v>0.125</v>
      </c>
      <c r="K35" s="308"/>
      <c r="L35" s="56"/>
      <c r="M35" s="307">
        <f>0.9/36*45</f>
        <v>1.125</v>
      </c>
      <c r="N35" s="309"/>
      <c r="O35"/>
      <c r="P35" s="46" t="s">
        <v>50</v>
      </c>
      <c r="Q35" s="47"/>
      <c r="R35" s="47"/>
      <c r="S35" s="46"/>
      <c r="T35" s="46"/>
      <c r="U35" s="46"/>
      <c r="V35" s="46"/>
    </row>
    <row r="36" spans="1:22" ht="11.25">
      <c r="A36" s="20"/>
      <c r="B36" s="22"/>
      <c r="C36" s="4"/>
      <c r="D36" s="48"/>
      <c r="E36" s="49"/>
      <c r="F36" s="50" t="s">
        <v>46</v>
      </c>
      <c r="G36" s="305">
        <v>0</v>
      </c>
      <c r="H36" s="305"/>
      <c r="I36" s="56"/>
      <c r="J36" s="305">
        <v>0</v>
      </c>
      <c r="K36" s="305"/>
      <c r="L36" s="56"/>
      <c r="M36" s="305">
        <v>0</v>
      </c>
      <c r="N36" s="306"/>
      <c r="O36"/>
      <c r="P36" s="46" t="s">
        <v>49</v>
      </c>
      <c r="Q36" s="47"/>
      <c r="R36" s="47"/>
      <c r="S36" s="46"/>
      <c r="T36" s="46"/>
      <c r="U36" s="46"/>
      <c r="V36" s="46"/>
    </row>
    <row r="37" spans="1:18" s="69" customFormat="1" ht="11.25">
      <c r="A37" s="64"/>
      <c r="B37" s="65"/>
      <c r="C37" s="66"/>
      <c r="D37" s="66"/>
      <c r="E37" s="5"/>
      <c r="F37" s="67"/>
      <c r="G37" s="70"/>
      <c r="H37" s="70"/>
      <c r="I37" s="68"/>
      <c r="J37" s="70"/>
      <c r="K37" s="70"/>
      <c r="L37" s="68"/>
      <c r="M37" s="70"/>
      <c r="N37" s="71"/>
      <c r="O37" s="12"/>
      <c r="Q37" s="12"/>
      <c r="R37" s="12"/>
    </row>
    <row r="38" spans="1:22" ht="11.25">
      <c r="A38" s="20"/>
      <c r="B38" s="22"/>
      <c r="C38" s="4"/>
      <c r="D38" s="48"/>
      <c r="E38" s="49"/>
      <c r="F38" s="50" t="s">
        <v>66</v>
      </c>
      <c r="G38" s="305">
        <v>2064</v>
      </c>
      <c r="H38" s="305"/>
      <c r="I38" s="56"/>
      <c r="J38" s="305">
        <f>190+1443</f>
        <v>1633</v>
      </c>
      <c r="K38" s="305"/>
      <c r="L38" s="56"/>
      <c r="M38" s="305">
        <f>81+1357</f>
        <v>1438</v>
      </c>
      <c r="N38" s="306"/>
      <c r="O38"/>
      <c r="P38" s="46" t="s">
        <v>72</v>
      </c>
      <c r="Q38" s="47"/>
      <c r="R38" s="47"/>
      <c r="S38" s="46"/>
      <c r="T38" s="46"/>
      <c r="U38" s="46"/>
      <c r="V38" s="46"/>
    </row>
    <row r="39" spans="1:22" ht="11.25">
      <c r="A39" s="20"/>
      <c r="B39" s="22"/>
      <c r="C39" s="4"/>
      <c r="D39" s="48"/>
      <c r="E39" s="49"/>
      <c r="F39" s="50" t="s">
        <v>65</v>
      </c>
      <c r="G39" s="299">
        <v>2668</v>
      </c>
      <c r="H39" s="300"/>
      <c r="I39" s="56"/>
      <c r="J39" s="299">
        <v>3525</v>
      </c>
      <c r="K39" s="300"/>
      <c r="L39" s="56"/>
      <c r="M39" s="299">
        <v>3445</v>
      </c>
      <c r="N39" s="301"/>
      <c r="O39"/>
      <c r="P39" s="46" t="s">
        <v>73</v>
      </c>
      <c r="Q39" s="47"/>
      <c r="R39" s="47"/>
      <c r="S39" s="46"/>
      <c r="T39" s="46"/>
      <c r="U39" s="46"/>
      <c r="V39" s="46"/>
    </row>
    <row r="40" spans="1:22" ht="11.25">
      <c r="A40" s="20"/>
      <c r="B40" s="22"/>
      <c r="C40" s="4"/>
      <c r="D40" s="48"/>
      <c r="E40" s="49"/>
      <c r="F40" s="50" t="s">
        <v>67</v>
      </c>
      <c r="G40" s="302">
        <v>1158</v>
      </c>
      <c r="H40" s="303"/>
      <c r="I40" s="56"/>
      <c r="J40" s="302">
        <v>100</v>
      </c>
      <c r="K40" s="303"/>
      <c r="L40" s="56"/>
      <c r="M40" s="302">
        <v>819</v>
      </c>
      <c r="N40" s="304"/>
      <c r="O40"/>
      <c r="P40" s="46" t="s">
        <v>75</v>
      </c>
      <c r="Q40" s="47"/>
      <c r="R40" s="47"/>
      <c r="S40" s="46"/>
      <c r="T40" s="46"/>
      <c r="U40" s="46"/>
      <c r="V40" s="46"/>
    </row>
    <row r="41" spans="1:22" ht="11.25">
      <c r="A41" s="20"/>
      <c r="B41" s="22"/>
      <c r="C41" s="4"/>
      <c r="D41" s="48"/>
      <c r="E41" s="49"/>
      <c r="F41" s="50" t="s">
        <v>68</v>
      </c>
      <c r="G41" s="302">
        <v>0</v>
      </c>
      <c r="H41" s="303"/>
      <c r="I41" s="56"/>
      <c r="J41" s="302">
        <v>0</v>
      </c>
      <c r="K41" s="303"/>
      <c r="L41" s="56"/>
      <c r="M41" s="302">
        <v>0</v>
      </c>
      <c r="N41" s="304"/>
      <c r="O41"/>
      <c r="P41" s="46" t="s">
        <v>74</v>
      </c>
      <c r="Q41" s="47"/>
      <c r="R41" s="47"/>
      <c r="S41" s="46"/>
      <c r="T41" s="46"/>
      <c r="U41" s="46"/>
      <c r="V41" s="46"/>
    </row>
    <row r="42" spans="1:18" ht="11.25">
      <c r="A42" s="20"/>
      <c r="B42" s="4"/>
      <c r="C42" s="4"/>
      <c r="D42" s="4"/>
      <c r="E42" s="3"/>
      <c r="F42" s="3"/>
      <c r="G42" s="9"/>
      <c r="H42" s="9"/>
      <c r="I42" s="22"/>
      <c r="J42" s="9"/>
      <c r="K42" s="9"/>
      <c r="L42" s="22"/>
      <c r="M42" s="9"/>
      <c r="N42" s="26"/>
      <c r="O42"/>
      <c r="P42"/>
      <c r="Q42"/>
      <c r="R42"/>
    </row>
    <row r="43" spans="1:18" ht="11.25">
      <c r="A43" s="20"/>
      <c r="B43" s="22"/>
      <c r="C43" s="4"/>
      <c r="D43" s="4"/>
      <c r="E43" s="3"/>
      <c r="F43" s="29" t="s">
        <v>22</v>
      </c>
      <c r="G43" s="302">
        <f>+(G11+G18)/(G33+G34)</f>
        <v>945.5094339622641</v>
      </c>
      <c r="H43" s="303"/>
      <c r="I43" s="22"/>
      <c r="J43" s="302">
        <f>+(J11+J18)/(J33+J34)</f>
        <v>844.4776119402985</v>
      </c>
      <c r="K43" s="303"/>
      <c r="L43" s="22"/>
      <c r="M43" s="302">
        <f>+(M11+M18)/(M33+M34)</f>
        <v>850.8955223880597</v>
      </c>
      <c r="N43" s="303"/>
      <c r="O43"/>
      <c r="P43" t="s">
        <v>32</v>
      </c>
      <c r="Q43"/>
      <c r="R43"/>
    </row>
    <row r="44" spans="1:18" ht="11.25">
      <c r="A44" s="20"/>
      <c r="B44" s="22"/>
      <c r="C44" s="4"/>
      <c r="D44" s="4"/>
      <c r="E44" s="3"/>
      <c r="F44" s="29" t="s">
        <v>216</v>
      </c>
      <c r="G44" s="332">
        <f>(G11+G18)/SUM(G33:H36)</f>
        <v>747.9402985074627</v>
      </c>
      <c r="H44" s="332"/>
      <c r="I44" s="22"/>
      <c r="J44" s="332">
        <f>(J11+J18)/SUM(J33:K36)</f>
        <v>829.010989010989</v>
      </c>
      <c r="K44" s="332"/>
      <c r="L44" s="22"/>
      <c r="M44" s="332">
        <f>(M11+M18)/SUM(M33:N36)</f>
        <v>728.5623003194888</v>
      </c>
      <c r="N44" s="332"/>
      <c r="O44"/>
      <c r="P44"/>
      <c r="Q44"/>
      <c r="R44"/>
    </row>
    <row r="45" spans="1:17" ht="11.25">
      <c r="A45" s="20"/>
      <c r="B45" s="4"/>
      <c r="C45" s="4"/>
      <c r="D45" s="4"/>
      <c r="E45" s="3"/>
      <c r="F45" s="3"/>
      <c r="G45" s="34" t="s">
        <v>24</v>
      </c>
      <c r="H45" s="34" t="s">
        <v>23</v>
      </c>
      <c r="I45" s="28"/>
      <c r="J45" s="34" t="s">
        <v>24</v>
      </c>
      <c r="K45" s="34" t="s">
        <v>23</v>
      </c>
      <c r="L45" s="28"/>
      <c r="M45" s="34" t="s">
        <v>24</v>
      </c>
      <c r="N45" s="35" t="s">
        <v>23</v>
      </c>
      <c r="O45" s="14"/>
      <c r="P45" s="13"/>
      <c r="Q45" s="31"/>
    </row>
    <row r="46" spans="1:22" ht="11.25">
      <c r="A46" s="20"/>
      <c r="B46" s="4"/>
      <c r="C46" s="4"/>
      <c r="D46" s="52"/>
      <c r="E46" s="53"/>
      <c r="F46" s="54" t="s">
        <v>25</v>
      </c>
      <c r="G46" s="76">
        <v>3</v>
      </c>
      <c r="H46" s="32">
        <f>G46/(G46+G47+G48+G49)</f>
        <v>0.42857142857142855</v>
      </c>
      <c r="I46" s="28"/>
      <c r="J46" s="76">
        <v>3</v>
      </c>
      <c r="K46" s="32">
        <f>J46/(J46+J47+J48+J49)</f>
        <v>0.42857142857142855</v>
      </c>
      <c r="L46" s="28"/>
      <c r="M46" s="76">
        <v>3</v>
      </c>
      <c r="N46" s="36">
        <f>M46/(M46+M47+M48+M49)</f>
        <v>0.5</v>
      </c>
      <c r="O46" s="14"/>
      <c r="P46" s="55" t="s">
        <v>84</v>
      </c>
      <c r="Q46" s="51"/>
      <c r="R46" s="55"/>
      <c r="S46" s="55"/>
      <c r="T46" s="55"/>
      <c r="U46" s="55"/>
      <c r="V46" s="55"/>
    </row>
    <row r="47" spans="1:22" ht="11.25">
      <c r="A47" s="20"/>
      <c r="B47" s="4"/>
      <c r="C47" s="4"/>
      <c r="D47" s="52"/>
      <c r="E47" s="53"/>
      <c r="F47" s="54" t="s">
        <v>13</v>
      </c>
      <c r="G47" s="76">
        <v>4</v>
      </c>
      <c r="H47" s="32">
        <f>G47/(G46+G47+G48+G49)</f>
        <v>0.5714285714285714</v>
      </c>
      <c r="I47" s="28"/>
      <c r="J47" s="76">
        <v>4</v>
      </c>
      <c r="K47" s="32">
        <f>J47/(J46+J47+J48+J49)</f>
        <v>0.5714285714285714</v>
      </c>
      <c r="L47" s="28"/>
      <c r="M47" s="76">
        <v>3</v>
      </c>
      <c r="N47" s="36">
        <f>M47/(M46+M47+M48+M49)</f>
        <v>0.5</v>
      </c>
      <c r="O47" s="14"/>
      <c r="P47" s="55" t="s">
        <v>84</v>
      </c>
      <c r="Q47" s="51"/>
      <c r="R47" s="55"/>
      <c r="S47" s="55"/>
      <c r="T47" s="55"/>
      <c r="U47" s="55"/>
      <c r="V47" s="55"/>
    </row>
    <row r="48" spans="1:22" ht="11.25">
      <c r="A48" s="20"/>
      <c r="B48" s="4"/>
      <c r="C48" s="4"/>
      <c r="D48" s="52"/>
      <c r="E48" s="53"/>
      <c r="F48" s="54" t="s">
        <v>51</v>
      </c>
      <c r="G48" s="76">
        <v>0</v>
      </c>
      <c r="H48" s="32">
        <f>G48/(G46+G47+G48+G49)</f>
        <v>0</v>
      </c>
      <c r="I48" s="28"/>
      <c r="J48" s="76">
        <v>0</v>
      </c>
      <c r="K48" s="32">
        <f>J48/(J46+J47+J48+J49)</f>
        <v>0</v>
      </c>
      <c r="L48" s="28"/>
      <c r="M48" s="76">
        <v>0</v>
      </c>
      <c r="N48" s="36">
        <f>M48/(M46+M47+M48+M49)</f>
        <v>0</v>
      </c>
      <c r="O48" s="14"/>
      <c r="P48" s="55" t="s">
        <v>85</v>
      </c>
      <c r="Q48" s="51"/>
      <c r="R48" s="55"/>
      <c r="S48" s="55"/>
      <c r="T48" s="55"/>
      <c r="U48" s="55"/>
      <c r="V48" s="55"/>
    </row>
    <row r="49" spans="1:22" ht="11.25">
      <c r="A49" s="20"/>
      <c r="B49" s="4"/>
      <c r="C49" s="4"/>
      <c r="D49" s="52"/>
      <c r="E49" s="53"/>
      <c r="F49" s="54" t="s">
        <v>52</v>
      </c>
      <c r="G49" s="76">
        <v>0</v>
      </c>
      <c r="H49" s="32">
        <f>G49/(G46+G47+G48+G49)</f>
        <v>0</v>
      </c>
      <c r="I49" s="28"/>
      <c r="J49" s="76">
        <v>0</v>
      </c>
      <c r="K49" s="32">
        <f>J49/(J46+J47+J48+J49)</f>
        <v>0</v>
      </c>
      <c r="L49" s="28"/>
      <c r="M49" s="76">
        <v>0</v>
      </c>
      <c r="N49" s="36">
        <f>M49/(M46+M47+M48+M49)</f>
        <v>0</v>
      </c>
      <c r="O49" s="14"/>
      <c r="P49" s="55" t="s">
        <v>85</v>
      </c>
      <c r="Q49" s="51"/>
      <c r="R49" s="55"/>
      <c r="S49" s="55"/>
      <c r="T49" s="55"/>
      <c r="U49" s="55"/>
      <c r="V49" s="55"/>
    </row>
    <row r="50" spans="1:14" ht="11.25">
      <c r="A50" s="21" t="s">
        <v>4</v>
      </c>
      <c r="B50" s="22"/>
      <c r="C50" s="4"/>
      <c r="D50" s="4"/>
      <c r="E50" s="3"/>
      <c r="F50" s="3"/>
      <c r="G50" s="8"/>
      <c r="H50" s="8"/>
      <c r="I50" s="3"/>
      <c r="J50" s="8"/>
      <c r="K50" s="8"/>
      <c r="L50" s="3"/>
      <c r="M50" s="8"/>
      <c r="N50" s="25"/>
    </row>
    <row r="51" spans="1:16" ht="11.25">
      <c r="A51" s="21"/>
      <c r="B51" s="22"/>
      <c r="C51" s="4"/>
      <c r="D51" s="4"/>
      <c r="E51" s="3"/>
      <c r="F51" s="63" t="s">
        <v>77</v>
      </c>
      <c r="G51" s="293">
        <v>0.948</v>
      </c>
      <c r="H51" s="294"/>
      <c r="I51" s="72"/>
      <c r="J51" s="293">
        <v>0.952</v>
      </c>
      <c r="K51" s="294"/>
      <c r="L51" s="72"/>
      <c r="M51" s="293">
        <v>0.921</v>
      </c>
      <c r="N51" s="295"/>
      <c r="P51" s="10" t="s">
        <v>87</v>
      </c>
    </row>
    <row r="52" spans="1:16" ht="11.25">
      <c r="A52" s="21"/>
      <c r="B52" s="22"/>
      <c r="C52" s="4"/>
      <c r="D52" s="4"/>
      <c r="E52" s="3"/>
      <c r="F52" s="63" t="s">
        <v>76</v>
      </c>
      <c r="G52" s="293">
        <v>0.124</v>
      </c>
      <c r="H52" s="294"/>
      <c r="I52" s="72"/>
      <c r="J52" s="293">
        <v>0.106</v>
      </c>
      <c r="K52" s="294"/>
      <c r="L52" s="72"/>
      <c r="M52" s="293">
        <v>0.149</v>
      </c>
      <c r="N52" s="295"/>
      <c r="P52" s="10" t="s">
        <v>79</v>
      </c>
    </row>
    <row r="53" spans="1:16" ht="11" customHeight="1">
      <c r="A53" s="20"/>
      <c r="B53" s="23"/>
      <c r="C53" s="4"/>
      <c r="D53" s="4"/>
      <c r="E53" s="3"/>
      <c r="F53" s="29" t="s">
        <v>10</v>
      </c>
      <c r="G53" s="296">
        <v>13</v>
      </c>
      <c r="H53" s="297"/>
      <c r="I53" s="3"/>
      <c r="J53" s="296">
        <v>17</v>
      </c>
      <c r="K53" s="297"/>
      <c r="L53" s="3"/>
      <c r="M53" s="296">
        <v>11</v>
      </c>
      <c r="N53" s="298"/>
      <c r="P53" s="10" t="s">
        <v>34</v>
      </c>
    </row>
    <row r="54" spans="1:16" ht="11.25">
      <c r="A54" s="20"/>
      <c r="B54" s="23"/>
      <c r="C54" s="4"/>
      <c r="D54" s="4"/>
      <c r="E54" s="3"/>
      <c r="F54" s="29" t="s">
        <v>8</v>
      </c>
      <c r="G54" s="296">
        <v>24</v>
      </c>
      <c r="H54" s="297"/>
      <c r="I54" s="14"/>
      <c r="J54" s="296">
        <v>24</v>
      </c>
      <c r="K54" s="297"/>
      <c r="L54" s="14"/>
      <c r="M54" s="296">
        <v>24</v>
      </c>
      <c r="N54" s="298"/>
      <c r="P54" s="10" t="s">
        <v>36</v>
      </c>
    </row>
    <row r="55" spans="1:16" ht="11.25">
      <c r="A55" s="20" t="s">
        <v>120</v>
      </c>
      <c r="B55" s="23"/>
      <c r="C55" s="4"/>
      <c r="D55" s="4"/>
      <c r="E55" s="3"/>
      <c r="F55" s="42" t="s">
        <v>11</v>
      </c>
      <c r="G55" s="296">
        <v>16.4</v>
      </c>
      <c r="H55" s="297"/>
      <c r="I55" s="3"/>
      <c r="J55" s="296">
        <v>15.7</v>
      </c>
      <c r="K55" s="297"/>
      <c r="L55" s="3"/>
      <c r="M55" s="296">
        <v>15.1</v>
      </c>
      <c r="N55" s="298"/>
      <c r="P55" s="10" t="s">
        <v>42</v>
      </c>
    </row>
    <row r="56" spans="1:19" ht="11.25">
      <c r="A56" s="20"/>
      <c r="B56" s="22"/>
      <c r="C56" s="4"/>
      <c r="D56" s="4"/>
      <c r="E56" s="3"/>
      <c r="F56" s="29" t="s">
        <v>9</v>
      </c>
      <c r="G56" s="293">
        <v>0.96</v>
      </c>
      <c r="H56" s="294"/>
      <c r="I56" s="3"/>
      <c r="J56" s="293">
        <v>0.96</v>
      </c>
      <c r="K56" s="294"/>
      <c r="L56" s="3"/>
      <c r="M56" s="293">
        <v>0.96</v>
      </c>
      <c r="N56" s="295"/>
      <c r="P56" s="10" t="s">
        <v>37</v>
      </c>
      <c r="Q56"/>
      <c r="R56"/>
      <c r="S56"/>
    </row>
    <row r="57" spans="1:19" ht="11.25">
      <c r="A57" s="20"/>
      <c r="B57" s="22"/>
      <c r="C57" s="4"/>
      <c r="D57" s="4"/>
      <c r="E57" s="27"/>
      <c r="F57" s="29" t="s">
        <v>12</v>
      </c>
      <c r="G57" s="296">
        <v>0</v>
      </c>
      <c r="H57" s="297"/>
      <c r="I57" s="28"/>
      <c r="J57" s="296">
        <v>0</v>
      </c>
      <c r="K57" s="297"/>
      <c r="L57" s="28"/>
      <c r="M57" s="296">
        <v>0</v>
      </c>
      <c r="N57" s="298"/>
      <c r="P57" s="10" t="s">
        <v>38</v>
      </c>
      <c r="Q57"/>
      <c r="R57"/>
      <c r="S57"/>
    </row>
    <row r="58" spans="1:19" ht="11.25">
      <c r="A58" s="20"/>
      <c r="B58" s="22"/>
      <c r="C58" s="4"/>
      <c r="D58" s="4"/>
      <c r="E58" s="3"/>
      <c r="F58" s="29" t="s">
        <v>19</v>
      </c>
      <c r="G58" s="293">
        <v>0.029</v>
      </c>
      <c r="H58" s="294"/>
      <c r="I58" s="28"/>
      <c r="J58" s="293">
        <v>0.032</v>
      </c>
      <c r="K58" s="294"/>
      <c r="L58" s="28"/>
      <c r="M58" s="293">
        <v>0.048</v>
      </c>
      <c r="N58" s="295"/>
      <c r="P58" s="10" t="s">
        <v>39</v>
      </c>
      <c r="Q58"/>
      <c r="R58"/>
      <c r="S58"/>
    </row>
    <row r="59" spans="1:19" ht="11.25">
      <c r="A59" s="20"/>
      <c r="B59" s="22"/>
      <c r="C59" s="4"/>
      <c r="D59" s="4"/>
      <c r="E59" s="3"/>
      <c r="F59" s="29" t="s">
        <v>0</v>
      </c>
      <c r="G59" s="293">
        <v>0.048</v>
      </c>
      <c r="H59" s="294"/>
      <c r="I59" s="28"/>
      <c r="J59" s="293">
        <v>0.091</v>
      </c>
      <c r="K59" s="294"/>
      <c r="L59" s="28"/>
      <c r="M59" s="293">
        <v>0.047</v>
      </c>
      <c r="N59" s="295"/>
      <c r="P59" s="10" t="s">
        <v>40</v>
      </c>
      <c r="Q59"/>
      <c r="R59"/>
      <c r="S59"/>
    </row>
    <row r="60" spans="1:14" ht="11.25">
      <c r="A60" s="21" t="s">
        <v>1</v>
      </c>
      <c r="B60" s="28"/>
      <c r="C60" s="28"/>
      <c r="D60" s="28"/>
      <c r="E60" s="28"/>
      <c r="F60" s="28"/>
      <c r="G60" s="28"/>
      <c r="H60" s="28"/>
      <c r="I60" s="28"/>
      <c r="J60" s="28"/>
      <c r="K60" s="28"/>
      <c r="L60" s="28"/>
      <c r="M60" s="28"/>
      <c r="N60" s="33"/>
    </row>
    <row r="61" spans="1:16" ht="11.25">
      <c r="A61" s="37"/>
      <c r="B61" s="28"/>
      <c r="C61" s="28"/>
      <c r="D61" s="28"/>
      <c r="E61" s="28"/>
      <c r="F61" s="28"/>
      <c r="G61" s="28"/>
      <c r="H61" s="28"/>
      <c r="I61" s="28"/>
      <c r="J61" s="28"/>
      <c r="K61" s="28"/>
      <c r="L61" s="28"/>
      <c r="M61" s="28"/>
      <c r="N61" s="33"/>
      <c r="P61" t="s">
        <v>35</v>
      </c>
    </row>
    <row r="62" spans="1:14" ht="11.25">
      <c r="A62" s="38"/>
      <c r="B62" s="23"/>
      <c r="C62" s="23"/>
      <c r="D62" s="23"/>
      <c r="E62" s="23"/>
      <c r="F62" s="23"/>
      <c r="G62" s="23"/>
      <c r="H62" s="23"/>
      <c r="I62" s="23"/>
      <c r="J62" s="23"/>
      <c r="K62" s="23"/>
      <c r="L62" s="23"/>
      <c r="M62" s="23"/>
      <c r="N62" s="24"/>
    </row>
    <row r="63" spans="1:14" ht="11.25">
      <c r="A63" s="38"/>
      <c r="B63" s="23"/>
      <c r="C63" s="23"/>
      <c r="D63" s="23"/>
      <c r="E63" s="23"/>
      <c r="F63" s="23"/>
      <c r="G63" s="23"/>
      <c r="H63" s="23"/>
      <c r="I63" s="23"/>
      <c r="J63" s="23"/>
      <c r="K63" s="23"/>
      <c r="L63" s="23"/>
      <c r="M63" s="23"/>
      <c r="N63" s="24"/>
    </row>
    <row r="64" spans="1:16" ht="11.25">
      <c r="A64" s="38"/>
      <c r="B64" s="23"/>
      <c r="C64" s="23"/>
      <c r="D64" s="23"/>
      <c r="E64" s="23"/>
      <c r="F64" s="23"/>
      <c r="G64" s="23"/>
      <c r="H64" s="23"/>
      <c r="I64" s="23"/>
      <c r="J64" s="23"/>
      <c r="K64" s="23"/>
      <c r="L64" s="23"/>
      <c r="M64" s="23"/>
      <c r="N64" s="24"/>
      <c r="P64" s="44" t="s">
        <v>41</v>
      </c>
    </row>
    <row r="65" spans="1:14" ht="11.25">
      <c r="A65" s="38"/>
      <c r="B65" s="23"/>
      <c r="C65" s="23"/>
      <c r="D65" s="23"/>
      <c r="E65" s="23"/>
      <c r="F65" s="23"/>
      <c r="G65" s="23"/>
      <c r="H65" s="23"/>
      <c r="I65" s="23"/>
      <c r="J65" s="23"/>
      <c r="K65" s="23"/>
      <c r="L65" s="23"/>
      <c r="M65" s="23"/>
      <c r="N65" s="24"/>
    </row>
    <row r="66" spans="1:14" ht="12.75" thickBot="1">
      <c r="A66" s="39"/>
      <c r="B66" s="40"/>
      <c r="C66" s="40"/>
      <c r="D66" s="40"/>
      <c r="E66" s="40"/>
      <c r="F66" s="40"/>
      <c r="G66" s="40"/>
      <c r="H66" s="40"/>
      <c r="I66" s="40"/>
      <c r="J66" s="40"/>
      <c r="K66" s="40"/>
      <c r="L66" s="40"/>
      <c r="M66" s="40"/>
      <c r="N66" s="41"/>
    </row>
  </sheetData>
  <mergeCells count="122">
    <mergeCell ref="G5:H5"/>
    <mergeCell ref="G6:H6"/>
    <mergeCell ref="G7:H7"/>
    <mergeCell ref="G8:H8"/>
    <mergeCell ref="G9:H9"/>
    <mergeCell ref="J9:K9"/>
    <mergeCell ref="G2:N2"/>
    <mergeCell ref="G3:H3"/>
    <mergeCell ref="J3:K3"/>
    <mergeCell ref="M3:N3"/>
    <mergeCell ref="G4:H4"/>
    <mergeCell ref="J4:K4"/>
    <mergeCell ref="M4:N4"/>
    <mergeCell ref="G13:H13"/>
    <mergeCell ref="J13:K13"/>
    <mergeCell ref="M13:N13"/>
    <mergeCell ref="G14:H14"/>
    <mergeCell ref="J14:K14"/>
    <mergeCell ref="M14:N14"/>
    <mergeCell ref="M9:N9"/>
    <mergeCell ref="G11:H11"/>
    <mergeCell ref="J11:K11"/>
    <mergeCell ref="M11:N11"/>
    <mergeCell ref="G12:H12"/>
    <mergeCell ref="J12:K12"/>
    <mergeCell ref="M12:N12"/>
    <mergeCell ref="G18:H18"/>
    <mergeCell ref="J18:K18"/>
    <mergeCell ref="M18:N18"/>
    <mergeCell ref="G19:H19"/>
    <mergeCell ref="J19:K19"/>
    <mergeCell ref="M19:N19"/>
    <mergeCell ref="G15:H15"/>
    <mergeCell ref="J15:K15"/>
    <mergeCell ref="M15:N15"/>
    <mergeCell ref="G16:H16"/>
    <mergeCell ref="J16:K16"/>
    <mergeCell ref="M16:N16"/>
    <mergeCell ref="G22:H22"/>
    <mergeCell ref="J22:K22"/>
    <mergeCell ref="M22:N22"/>
    <mergeCell ref="G24:H24"/>
    <mergeCell ref="J24:K24"/>
    <mergeCell ref="M24:N24"/>
    <mergeCell ref="G20:H20"/>
    <mergeCell ref="J20:K20"/>
    <mergeCell ref="M20:N20"/>
    <mergeCell ref="G21:H21"/>
    <mergeCell ref="J21:K21"/>
    <mergeCell ref="M21:N21"/>
    <mergeCell ref="G28:H28"/>
    <mergeCell ref="J28:K28"/>
    <mergeCell ref="M28:N28"/>
    <mergeCell ref="G29:H29"/>
    <mergeCell ref="J29:K29"/>
    <mergeCell ref="M29:N29"/>
    <mergeCell ref="G25:H25"/>
    <mergeCell ref="J25:K25"/>
    <mergeCell ref="M25:N25"/>
    <mergeCell ref="G27:H27"/>
    <mergeCell ref="J27:K27"/>
    <mergeCell ref="M27:N27"/>
    <mergeCell ref="G34:H34"/>
    <mergeCell ref="J34:K34"/>
    <mergeCell ref="M34:N34"/>
    <mergeCell ref="G35:H35"/>
    <mergeCell ref="J35:K35"/>
    <mergeCell ref="M35:N35"/>
    <mergeCell ref="G31:H31"/>
    <mergeCell ref="J31:K31"/>
    <mergeCell ref="M31:N31"/>
    <mergeCell ref="G33:H33"/>
    <mergeCell ref="J33:K33"/>
    <mergeCell ref="M33:N33"/>
    <mergeCell ref="G39:H39"/>
    <mergeCell ref="J39:K39"/>
    <mergeCell ref="M39:N39"/>
    <mergeCell ref="G40:H40"/>
    <mergeCell ref="J40:K40"/>
    <mergeCell ref="M40:N40"/>
    <mergeCell ref="G36:H36"/>
    <mergeCell ref="J36:K36"/>
    <mergeCell ref="M36:N36"/>
    <mergeCell ref="G38:H38"/>
    <mergeCell ref="J38:K38"/>
    <mergeCell ref="M38:N38"/>
    <mergeCell ref="G51:H51"/>
    <mergeCell ref="J51:K51"/>
    <mergeCell ref="M51:N51"/>
    <mergeCell ref="G52:H52"/>
    <mergeCell ref="J52:K52"/>
    <mergeCell ref="M52:N52"/>
    <mergeCell ref="G41:H41"/>
    <mergeCell ref="J41:K41"/>
    <mergeCell ref="M41:N41"/>
    <mergeCell ref="G43:H43"/>
    <mergeCell ref="J43:K43"/>
    <mergeCell ref="M43:N43"/>
    <mergeCell ref="G59:H59"/>
    <mergeCell ref="J59:K59"/>
    <mergeCell ref="M59:N59"/>
    <mergeCell ref="G44:H44"/>
    <mergeCell ref="J44:K44"/>
    <mergeCell ref="M44:N44"/>
    <mergeCell ref="G57:H57"/>
    <mergeCell ref="J57:K57"/>
    <mergeCell ref="M57:N57"/>
    <mergeCell ref="G58:H58"/>
    <mergeCell ref="J58:K58"/>
    <mergeCell ref="M58:N58"/>
    <mergeCell ref="G55:H55"/>
    <mergeCell ref="J55:K55"/>
    <mergeCell ref="M55:N55"/>
    <mergeCell ref="G56:H56"/>
    <mergeCell ref="J56:K56"/>
    <mergeCell ref="M56:N56"/>
    <mergeCell ref="G53:H53"/>
    <mergeCell ref="J53:K53"/>
    <mergeCell ref="M53:N53"/>
    <mergeCell ref="G54:H54"/>
    <mergeCell ref="J54:K54"/>
    <mergeCell ref="M54:N54"/>
  </mergeCells>
  <printOptions/>
  <pageMargins left="0.25" right="0.25" top="0.75" bottom="0.75" header="0.3" footer="0.3"/>
  <pageSetup fitToHeight="1" fitToWidth="1" horizontalDpi="1200" verticalDpi="1200" orientation="portrait" scale="94" r:id="rId3"/>
  <colBreaks count="1" manualBreakCount="1">
    <brk id="14" max="16383" man="1"/>
  </colBreaks>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V66"/>
  <sheetViews>
    <sheetView showGridLines="0" workbookViewId="0" topLeftCell="A14">
      <selection activeCell="G27" sqref="G27:H27"/>
    </sheetView>
  </sheetViews>
  <sheetFormatPr defaultColWidth="9.00390625" defaultRowHeight="11.25"/>
  <cols>
    <col min="1" max="1" width="4.625" style="1" customWidth="1"/>
    <col min="2" max="5" width="9.00390625" style="1" customWidth="1"/>
    <col min="6" max="6" width="7.125" style="1" customWidth="1"/>
    <col min="7" max="8" width="9.125" style="1" customWidth="1"/>
    <col min="9" max="9" width="1.75390625" style="1" customWidth="1"/>
    <col min="10" max="11" width="9.125" style="1" customWidth="1"/>
    <col min="12" max="12" width="1.75390625" style="1" customWidth="1"/>
    <col min="13" max="14" width="9.125" style="1" customWidth="1"/>
    <col min="15" max="15" width="3.75390625" style="10" customWidth="1"/>
    <col min="16" max="16384" width="9.00390625" style="10" customWidth="1"/>
  </cols>
  <sheetData>
    <row r="1" spans="1:14" s="12" customFormat="1" ht="11.25">
      <c r="A1" s="17" t="s">
        <v>88</v>
      </c>
      <c r="B1" s="18"/>
      <c r="C1" s="18"/>
      <c r="D1" s="18"/>
      <c r="E1" s="18"/>
      <c r="F1" s="18"/>
      <c r="G1" s="18"/>
      <c r="H1" s="18"/>
      <c r="I1" s="18"/>
      <c r="J1" s="18"/>
      <c r="K1" s="18"/>
      <c r="L1" s="18"/>
      <c r="M1" s="18"/>
      <c r="N1" s="19"/>
    </row>
    <row r="2" spans="1:16" s="12" customFormat="1" ht="11.25">
      <c r="A2" s="20" t="s">
        <v>89</v>
      </c>
      <c r="B2" s="15"/>
      <c r="C2" s="15"/>
      <c r="D2" s="15"/>
      <c r="E2" s="15"/>
      <c r="F2" s="15"/>
      <c r="G2" s="328" t="s">
        <v>26</v>
      </c>
      <c r="H2" s="328"/>
      <c r="I2" s="328"/>
      <c r="J2" s="328"/>
      <c r="K2" s="328"/>
      <c r="L2" s="328"/>
      <c r="M2" s="328"/>
      <c r="N2" s="329"/>
      <c r="P2" s="43" t="s">
        <v>27</v>
      </c>
    </row>
    <row r="3" spans="1:14" ht="11.25">
      <c r="A3" s="45"/>
      <c r="B3" s="2"/>
      <c r="C3" s="2"/>
      <c r="D3" s="2"/>
      <c r="E3" s="2"/>
      <c r="F3" s="16" t="s">
        <v>14</v>
      </c>
      <c r="G3" s="330">
        <v>19</v>
      </c>
      <c r="H3" s="327"/>
      <c r="I3" s="2"/>
      <c r="J3" s="330">
        <v>18</v>
      </c>
      <c r="K3" s="327"/>
      <c r="L3" s="2"/>
      <c r="M3" s="330">
        <v>17</v>
      </c>
      <c r="N3" s="331"/>
    </row>
    <row r="4" spans="1:14" ht="11.25">
      <c r="A4" s="20"/>
      <c r="B4" s="2"/>
      <c r="C4" s="2"/>
      <c r="D4" s="2"/>
      <c r="E4" s="2"/>
      <c r="F4" s="16" t="s">
        <v>15</v>
      </c>
      <c r="G4" s="330" t="s">
        <v>80</v>
      </c>
      <c r="H4" s="327"/>
      <c r="I4" s="2"/>
      <c r="J4" s="330" t="s">
        <v>81</v>
      </c>
      <c r="K4" s="327"/>
      <c r="L4" s="2"/>
      <c r="M4" s="330" t="s">
        <v>82</v>
      </c>
      <c r="N4" s="331"/>
    </row>
    <row r="5" spans="1:14" ht="11.25">
      <c r="A5" s="20"/>
      <c r="B5" s="2"/>
      <c r="C5" s="2"/>
      <c r="D5" s="2"/>
      <c r="E5" s="2"/>
      <c r="F5" s="16" t="s">
        <v>16</v>
      </c>
      <c r="G5" s="321" t="s">
        <v>102</v>
      </c>
      <c r="H5" s="322"/>
      <c r="I5" s="2"/>
      <c r="J5" s="28"/>
      <c r="K5" s="28"/>
      <c r="L5" s="28"/>
      <c r="M5" s="28"/>
      <c r="N5" s="33"/>
    </row>
    <row r="6" spans="1:14" ht="11.25">
      <c r="A6" s="20"/>
      <c r="B6" s="2"/>
      <c r="C6" s="2"/>
      <c r="D6" s="2"/>
      <c r="E6" s="2"/>
      <c r="F6" s="16" t="s">
        <v>17</v>
      </c>
      <c r="G6" s="323" t="s">
        <v>121</v>
      </c>
      <c r="H6" s="323"/>
      <c r="I6" s="2"/>
      <c r="J6" s="28"/>
      <c r="K6" s="28"/>
      <c r="L6" s="28"/>
      <c r="M6" s="28"/>
      <c r="N6" s="33"/>
    </row>
    <row r="7" spans="1:14" ht="11.25">
      <c r="A7" s="20"/>
      <c r="B7" s="2"/>
      <c r="C7" s="2"/>
      <c r="D7" s="2"/>
      <c r="E7" s="2"/>
      <c r="F7" s="16" t="s">
        <v>33</v>
      </c>
      <c r="G7" s="324" t="s">
        <v>101</v>
      </c>
      <c r="H7" s="325"/>
      <c r="I7" s="2"/>
      <c r="J7" s="28"/>
      <c r="K7" s="28"/>
      <c r="L7" s="28"/>
      <c r="M7" s="28"/>
      <c r="N7" s="33"/>
    </row>
    <row r="8" spans="1:14" ht="11.25">
      <c r="A8" s="20"/>
      <c r="B8" s="2"/>
      <c r="C8" s="2"/>
      <c r="D8" s="2"/>
      <c r="E8" s="2"/>
      <c r="F8" s="16" t="s">
        <v>18</v>
      </c>
      <c r="G8" s="326">
        <v>43929</v>
      </c>
      <c r="H8" s="327"/>
      <c r="I8" s="2"/>
      <c r="J8" s="28"/>
      <c r="K8" s="28"/>
      <c r="L8" s="28"/>
      <c r="M8" s="28"/>
      <c r="N8" s="33"/>
    </row>
    <row r="9" spans="1:14" ht="12.75">
      <c r="A9" s="21" t="s">
        <v>2</v>
      </c>
      <c r="B9" s="22"/>
      <c r="C9" s="4"/>
      <c r="D9" s="4"/>
      <c r="E9" s="3"/>
      <c r="F9" s="3"/>
      <c r="G9" s="319"/>
      <c r="H9" s="319"/>
      <c r="I9" s="3"/>
      <c r="J9" s="319"/>
      <c r="K9" s="319"/>
      <c r="L9" s="3"/>
      <c r="M9" s="319"/>
      <c r="N9" s="320"/>
    </row>
    <row r="10" spans="1:15" ht="12.75">
      <c r="A10" s="20"/>
      <c r="B10" s="22" t="s">
        <v>56</v>
      </c>
      <c r="C10" s="4"/>
      <c r="D10" s="4"/>
      <c r="E10" s="3"/>
      <c r="F10" s="29"/>
      <c r="G10" s="58"/>
      <c r="H10" s="58"/>
      <c r="I10" s="5"/>
      <c r="J10" s="58"/>
      <c r="K10" s="58"/>
      <c r="L10" s="5"/>
      <c r="M10" s="58"/>
      <c r="N10" s="59"/>
      <c r="O10" s="11"/>
    </row>
    <row r="11" spans="1:16" ht="11.25">
      <c r="A11" s="20"/>
      <c r="B11" s="22"/>
      <c r="C11" s="6"/>
      <c r="D11" s="6"/>
      <c r="E11" s="7"/>
      <c r="F11" s="30" t="s">
        <v>7</v>
      </c>
      <c r="G11" s="313">
        <v>4008</v>
      </c>
      <c r="H11" s="314"/>
      <c r="I11" s="5"/>
      <c r="J11" s="313">
        <v>3737</v>
      </c>
      <c r="K11" s="314"/>
      <c r="L11" s="5"/>
      <c r="M11" s="313">
        <v>3727</v>
      </c>
      <c r="N11" s="315"/>
      <c r="P11" s="10" t="s">
        <v>28</v>
      </c>
    </row>
    <row r="12" spans="1:16" ht="12.75">
      <c r="A12" s="20"/>
      <c r="B12" s="22"/>
      <c r="C12" s="4"/>
      <c r="D12" s="4"/>
      <c r="E12" s="3"/>
      <c r="F12" s="29" t="s">
        <v>5</v>
      </c>
      <c r="G12" s="316">
        <v>0.037</v>
      </c>
      <c r="H12" s="317"/>
      <c r="I12" s="5"/>
      <c r="J12" s="316">
        <v>-0.022</v>
      </c>
      <c r="K12" s="317"/>
      <c r="L12" s="5"/>
      <c r="M12" s="316">
        <v>-0.077</v>
      </c>
      <c r="N12" s="318"/>
      <c r="O12" s="11"/>
      <c r="P12" s="10" t="s">
        <v>29</v>
      </c>
    </row>
    <row r="13" spans="1:16" ht="12.75">
      <c r="A13" s="20"/>
      <c r="B13" s="22"/>
      <c r="C13" s="4"/>
      <c r="D13" s="4"/>
      <c r="E13" s="3"/>
      <c r="F13" s="29" t="s">
        <v>53</v>
      </c>
      <c r="G13" s="313">
        <v>1</v>
      </c>
      <c r="H13" s="314"/>
      <c r="I13" s="5"/>
      <c r="J13" s="313">
        <v>1</v>
      </c>
      <c r="K13" s="314"/>
      <c r="L13" s="5"/>
      <c r="M13" s="313">
        <v>1</v>
      </c>
      <c r="N13" s="315"/>
      <c r="O13" s="11"/>
      <c r="P13" s="10" t="s">
        <v>71</v>
      </c>
    </row>
    <row r="14" spans="1:16" ht="12.75">
      <c r="A14" s="20"/>
      <c r="B14" s="22"/>
      <c r="C14" s="4"/>
      <c r="D14" s="4"/>
      <c r="E14" s="3"/>
      <c r="F14" s="29" t="s">
        <v>54</v>
      </c>
      <c r="G14" s="313">
        <v>119</v>
      </c>
      <c r="H14" s="314"/>
      <c r="I14" s="5"/>
      <c r="J14" s="313">
        <v>123</v>
      </c>
      <c r="K14" s="314"/>
      <c r="L14" s="5"/>
      <c r="M14" s="313">
        <v>112</v>
      </c>
      <c r="N14" s="315"/>
      <c r="O14" s="11"/>
      <c r="P14" s="10" t="s">
        <v>70</v>
      </c>
    </row>
    <row r="15" spans="1:16" ht="12.75">
      <c r="A15" s="20"/>
      <c r="B15" s="22"/>
      <c r="C15" s="4"/>
      <c r="D15" s="4"/>
      <c r="E15" s="3"/>
      <c r="F15" s="29" t="s">
        <v>55</v>
      </c>
      <c r="G15" s="313">
        <v>100</v>
      </c>
      <c r="H15" s="314"/>
      <c r="I15" s="5"/>
      <c r="J15" s="313">
        <v>118</v>
      </c>
      <c r="K15" s="314"/>
      <c r="L15" s="5"/>
      <c r="M15" s="313">
        <v>145</v>
      </c>
      <c r="N15" s="315"/>
      <c r="O15" s="11"/>
      <c r="P15" s="10" t="s">
        <v>69</v>
      </c>
    </row>
    <row r="16" spans="1:16" ht="12.75">
      <c r="A16" s="20"/>
      <c r="B16" s="22"/>
      <c r="C16" s="4"/>
      <c r="D16" s="4"/>
      <c r="E16" s="3"/>
      <c r="F16" s="29" t="s">
        <v>78</v>
      </c>
      <c r="G16" s="313">
        <v>59</v>
      </c>
      <c r="H16" s="314"/>
      <c r="I16" s="5"/>
      <c r="J16" s="313">
        <v>36</v>
      </c>
      <c r="K16" s="314"/>
      <c r="L16" s="5"/>
      <c r="M16" s="313">
        <v>32</v>
      </c>
      <c r="N16" s="315"/>
      <c r="O16" s="11"/>
      <c r="P16" s="10" t="s">
        <v>86</v>
      </c>
    </row>
    <row r="17" spans="1:15" ht="12.75">
      <c r="A17" s="20"/>
      <c r="B17" s="22" t="s">
        <v>57</v>
      </c>
      <c r="C17" s="4"/>
      <c r="D17" s="4"/>
      <c r="E17" s="3"/>
      <c r="F17" s="29"/>
      <c r="G17" s="58"/>
      <c r="H17" s="58"/>
      <c r="I17" s="5"/>
      <c r="J17" s="58"/>
      <c r="K17" s="58"/>
      <c r="L17" s="5"/>
      <c r="M17" s="58"/>
      <c r="N17" s="59"/>
      <c r="O17" s="11"/>
    </row>
    <row r="18" spans="1:16" ht="11.25">
      <c r="A18" s="20"/>
      <c r="B18" s="22"/>
      <c r="C18" s="6"/>
      <c r="D18" s="6"/>
      <c r="E18" s="7"/>
      <c r="F18" s="30" t="s">
        <v>7</v>
      </c>
      <c r="G18" s="313"/>
      <c r="H18" s="314"/>
      <c r="I18" s="5"/>
      <c r="J18" s="313"/>
      <c r="K18" s="314"/>
      <c r="L18" s="5"/>
      <c r="M18" s="313"/>
      <c r="N18" s="315"/>
      <c r="P18" s="10" t="s">
        <v>28</v>
      </c>
    </row>
    <row r="19" spans="1:16" ht="12.75">
      <c r="A19" s="20"/>
      <c r="B19" s="22"/>
      <c r="C19" s="4"/>
      <c r="D19" s="4"/>
      <c r="E19" s="3"/>
      <c r="F19" s="29" t="s">
        <v>5</v>
      </c>
      <c r="G19" s="316"/>
      <c r="H19" s="317"/>
      <c r="I19" s="5"/>
      <c r="J19" s="316"/>
      <c r="K19" s="317"/>
      <c r="L19" s="5"/>
      <c r="M19" s="316"/>
      <c r="N19" s="318"/>
      <c r="O19" s="11"/>
      <c r="P19" s="10" t="s">
        <v>29</v>
      </c>
    </row>
    <row r="20" spans="1:16" ht="12.75">
      <c r="A20" s="20"/>
      <c r="B20" s="22"/>
      <c r="C20" s="4"/>
      <c r="D20" s="4"/>
      <c r="E20" s="3"/>
      <c r="F20" s="29" t="s">
        <v>58</v>
      </c>
      <c r="G20" s="313"/>
      <c r="H20" s="314"/>
      <c r="I20" s="5"/>
      <c r="J20" s="313"/>
      <c r="K20" s="314"/>
      <c r="L20" s="5"/>
      <c r="M20" s="313"/>
      <c r="N20" s="315"/>
      <c r="O20" s="11"/>
      <c r="P20" s="10" t="s">
        <v>71</v>
      </c>
    </row>
    <row r="21" spans="1:16" ht="12.75">
      <c r="A21" s="20"/>
      <c r="B21" s="22"/>
      <c r="C21" s="4"/>
      <c r="D21" s="4"/>
      <c r="E21" s="3"/>
      <c r="F21" s="29" t="s">
        <v>59</v>
      </c>
      <c r="G21" s="313"/>
      <c r="H21" s="314"/>
      <c r="I21" s="5"/>
      <c r="J21" s="313"/>
      <c r="K21" s="314"/>
      <c r="L21" s="5"/>
      <c r="M21" s="313"/>
      <c r="N21" s="315"/>
      <c r="O21" s="11"/>
      <c r="P21" s="10" t="s">
        <v>83</v>
      </c>
    </row>
    <row r="22" spans="1:16" ht="12.75">
      <c r="A22" s="20"/>
      <c r="B22" s="22"/>
      <c r="C22" s="4"/>
      <c r="D22" s="4"/>
      <c r="E22" s="3"/>
      <c r="F22" s="29" t="s">
        <v>78</v>
      </c>
      <c r="G22" s="313"/>
      <c r="H22" s="314"/>
      <c r="I22" s="5"/>
      <c r="J22" s="313"/>
      <c r="K22" s="314"/>
      <c r="L22" s="5"/>
      <c r="M22" s="313"/>
      <c r="N22" s="315"/>
      <c r="O22" s="11"/>
      <c r="P22" s="10" t="s">
        <v>86</v>
      </c>
    </row>
    <row r="23" spans="1:14" ht="11.25">
      <c r="A23" s="20"/>
      <c r="B23" s="4" t="s">
        <v>6</v>
      </c>
      <c r="C23" s="4"/>
      <c r="D23" s="4"/>
      <c r="E23" s="3"/>
      <c r="F23" s="3"/>
      <c r="G23" s="23"/>
      <c r="H23" s="23"/>
      <c r="I23" s="5"/>
      <c r="J23" s="23"/>
      <c r="K23" s="23"/>
      <c r="L23" s="5"/>
      <c r="M23" s="23"/>
      <c r="N23" s="24"/>
    </row>
    <row r="24" spans="1:16" ht="11.25">
      <c r="A24" s="20"/>
      <c r="B24" s="22"/>
      <c r="C24" s="4"/>
      <c r="D24" s="4"/>
      <c r="E24" s="3"/>
      <c r="F24" s="29" t="s">
        <v>20</v>
      </c>
      <c r="G24" s="293">
        <v>0.862</v>
      </c>
      <c r="H24" s="294"/>
      <c r="I24" s="3"/>
      <c r="J24" s="293">
        <v>0.851</v>
      </c>
      <c r="K24" s="294"/>
      <c r="L24" s="3"/>
      <c r="M24" s="293">
        <v>0.877</v>
      </c>
      <c r="N24" s="295"/>
      <c r="P24" s="10" t="s">
        <v>30</v>
      </c>
    </row>
    <row r="25" spans="1:16" ht="11.25">
      <c r="A25" s="20"/>
      <c r="B25" s="22"/>
      <c r="C25" s="4"/>
      <c r="D25" s="4"/>
      <c r="E25" s="3"/>
      <c r="F25" s="29" t="s">
        <v>21</v>
      </c>
      <c r="G25" s="293">
        <v>0.138</v>
      </c>
      <c r="H25" s="294"/>
      <c r="I25" s="3"/>
      <c r="J25" s="293">
        <v>0.149</v>
      </c>
      <c r="K25" s="294"/>
      <c r="L25" s="3"/>
      <c r="M25" s="293">
        <v>0.123</v>
      </c>
      <c r="N25" s="295"/>
      <c r="P25" s="10" t="s">
        <v>31</v>
      </c>
    </row>
    <row r="26" spans="1:14" ht="11.25">
      <c r="A26" s="62" t="s">
        <v>60</v>
      </c>
      <c r="B26" s="22"/>
      <c r="C26" s="4"/>
      <c r="D26" s="4"/>
      <c r="E26" s="3"/>
      <c r="F26" s="29"/>
      <c r="G26" s="60"/>
      <c r="H26" s="60"/>
      <c r="I26" s="5"/>
      <c r="J26" s="60"/>
      <c r="K26" s="60"/>
      <c r="L26" s="5"/>
      <c r="M26" s="60"/>
      <c r="N26" s="61"/>
    </row>
    <row r="27" spans="1:16" ht="11.25">
      <c r="A27" s="20"/>
      <c r="B27" s="22"/>
      <c r="C27" s="4"/>
      <c r="D27" s="4"/>
      <c r="E27" s="3"/>
      <c r="F27" s="29" t="s">
        <v>61</v>
      </c>
      <c r="G27" s="313">
        <f>'[2]FY19'!$Q$1603-G28</f>
        <v>920491.2624999998</v>
      </c>
      <c r="H27" s="314"/>
      <c r="I27" s="5"/>
      <c r="J27" s="313">
        <f>'[2]FY18'!$Q$1486-J28</f>
        <v>820821.9525000001</v>
      </c>
      <c r="K27" s="314"/>
      <c r="L27" s="5"/>
      <c r="M27" s="313">
        <f>'[2]FY17'!$Q$1238-M28</f>
        <v>873327.7399999999</v>
      </c>
      <c r="N27" s="315"/>
      <c r="P27" s="10" t="s">
        <v>91</v>
      </c>
    </row>
    <row r="28" spans="1:16" ht="11.25">
      <c r="A28" s="20"/>
      <c r="B28" s="22"/>
      <c r="C28" s="4"/>
      <c r="D28" s="4"/>
      <c r="E28" s="3"/>
      <c r="F28" s="29" t="s">
        <v>62</v>
      </c>
      <c r="G28" s="313">
        <f>'[2]FY19'!$Q$147</f>
        <v>9315.615000000003</v>
      </c>
      <c r="H28" s="314"/>
      <c r="I28" s="5"/>
      <c r="J28" s="313">
        <f>'[2]FY18'!$Q$148</f>
        <v>8973.387500000006</v>
      </c>
      <c r="K28" s="314"/>
      <c r="L28" s="5"/>
      <c r="M28" s="313">
        <f>'[2]FY17'!$Q$122</f>
        <v>8178.340000000002</v>
      </c>
      <c r="N28" s="315"/>
      <c r="P28" s="10" t="s">
        <v>91</v>
      </c>
    </row>
    <row r="29" spans="1:16" ht="11.25">
      <c r="A29" s="20"/>
      <c r="B29" s="22"/>
      <c r="C29" s="4"/>
      <c r="D29" s="4"/>
      <c r="E29" s="3"/>
      <c r="F29" s="29" t="s">
        <v>63</v>
      </c>
      <c r="G29" s="310">
        <f>'[2]FY19B'!$R$7954</f>
        <v>256172.04750000004</v>
      </c>
      <c r="H29" s="311"/>
      <c r="I29" s="5"/>
      <c r="J29" s="310">
        <f>'[2]FY18B'!$Q$6452</f>
        <v>232302.19999999987</v>
      </c>
      <c r="K29" s="311"/>
      <c r="L29" s="5"/>
      <c r="M29" s="310">
        <f>'[2]FY17B'!$R$5597</f>
        <v>231430.78499999986</v>
      </c>
      <c r="N29" s="312"/>
      <c r="P29" s="10" t="s">
        <v>90</v>
      </c>
    </row>
    <row r="30" spans="1:14" ht="11.25">
      <c r="A30" s="20"/>
      <c r="B30" s="22"/>
      <c r="C30" s="4"/>
      <c r="D30" s="4"/>
      <c r="E30" s="3"/>
      <c r="F30" s="29"/>
      <c r="G30" s="73"/>
      <c r="H30" s="74"/>
      <c r="I30" s="5"/>
      <c r="J30" s="73"/>
      <c r="K30" s="74"/>
      <c r="L30" s="5"/>
      <c r="M30" s="73"/>
      <c r="N30" s="75"/>
    </row>
    <row r="31" spans="1:18" ht="11.25">
      <c r="A31" s="20"/>
      <c r="B31" s="4"/>
      <c r="C31" s="4"/>
      <c r="D31" s="4"/>
      <c r="E31" s="3"/>
      <c r="F31" s="63" t="s">
        <v>64</v>
      </c>
      <c r="G31" s="299">
        <f>(SUM(G27:G29))/(G11+G18)</f>
        <v>295.90292539920154</v>
      </c>
      <c r="H31" s="300"/>
      <c r="I31" s="22"/>
      <c r="J31" s="299">
        <f>SUM(J27:K29)/(J11+J18)</f>
        <v>284.2112764249398</v>
      </c>
      <c r="K31" s="300"/>
      <c r="L31" s="22"/>
      <c r="M31" s="299">
        <f>SUM(M27:N29)/(M11+M18)</f>
        <v>298.61466729272865</v>
      </c>
      <c r="N31" s="301"/>
      <c r="O31"/>
      <c r="P31" t="s">
        <v>32</v>
      </c>
      <c r="Q31"/>
      <c r="R31"/>
    </row>
    <row r="32" spans="1:14" ht="11.25">
      <c r="A32" s="21" t="s">
        <v>3</v>
      </c>
      <c r="B32" s="22"/>
      <c r="C32" s="4"/>
      <c r="D32" s="4"/>
      <c r="E32" s="3"/>
      <c r="F32" s="3"/>
      <c r="G32" s="8"/>
      <c r="H32" s="8"/>
      <c r="I32" s="3"/>
      <c r="J32" s="8"/>
      <c r="K32" s="8"/>
      <c r="L32" s="3"/>
      <c r="M32" s="8"/>
      <c r="N32" s="25"/>
    </row>
    <row r="33" spans="1:22" ht="11.25">
      <c r="A33" s="20"/>
      <c r="B33" s="22"/>
      <c r="C33" s="4"/>
      <c r="D33" s="48"/>
      <c r="E33" s="49"/>
      <c r="F33" s="50" t="s">
        <v>43</v>
      </c>
      <c r="G33" s="302">
        <f>1.5+2.1</f>
        <v>3.6</v>
      </c>
      <c r="H33" s="303"/>
      <c r="I33" s="56"/>
      <c r="J33" s="302">
        <f>2.2+1.7</f>
        <v>3.9000000000000004</v>
      </c>
      <c r="K33" s="303"/>
      <c r="L33" s="56"/>
      <c r="M33" s="302">
        <f>1.4+2.6</f>
        <v>4</v>
      </c>
      <c r="N33" s="304"/>
      <c r="O33"/>
      <c r="P33" s="46" t="s">
        <v>47</v>
      </c>
      <c r="Q33" s="47"/>
      <c r="R33" s="47"/>
      <c r="S33" s="46"/>
      <c r="T33" s="46"/>
      <c r="U33" s="46"/>
      <c r="V33" s="46"/>
    </row>
    <row r="34" spans="1:22" ht="11.25">
      <c r="A34" s="20"/>
      <c r="B34" s="22"/>
      <c r="C34" s="4"/>
      <c r="D34" s="48"/>
      <c r="E34" s="49"/>
      <c r="F34" s="50" t="s">
        <v>44</v>
      </c>
      <c r="G34" s="302">
        <f>1/36*45</f>
        <v>1.25</v>
      </c>
      <c r="H34" s="303"/>
      <c r="I34" s="56"/>
      <c r="J34" s="302">
        <f>1/36*45</f>
        <v>1.25</v>
      </c>
      <c r="K34" s="303"/>
      <c r="L34" s="56"/>
      <c r="M34" s="302">
        <f>1/36*45</f>
        <v>1.25</v>
      </c>
      <c r="N34" s="304"/>
      <c r="O34"/>
      <c r="P34" s="46" t="s">
        <v>48</v>
      </c>
      <c r="Q34" s="47"/>
      <c r="R34" s="47"/>
      <c r="S34" s="46"/>
      <c r="T34" s="46"/>
      <c r="U34" s="46"/>
      <c r="V34" s="46"/>
    </row>
    <row r="35" spans="1:22" ht="11.25">
      <c r="A35" s="20"/>
      <c r="B35" s="22"/>
      <c r="C35" s="4"/>
      <c r="D35" s="48"/>
      <c r="E35" s="49"/>
      <c r="F35" s="50" t="s">
        <v>45</v>
      </c>
      <c r="G35" s="307">
        <f>1.4/36*45</f>
        <v>1.75</v>
      </c>
      <c r="H35" s="308"/>
      <c r="I35" s="56"/>
      <c r="J35" s="307">
        <f>0.8/36*45</f>
        <v>1</v>
      </c>
      <c r="K35" s="308"/>
      <c r="L35" s="56"/>
      <c r="M35" s="307">
        <f>0.5/36*45</f>
        <v>0.625</v>
      </c>
      <c r="N35" s="309"/>
      <c r="O35"/>
      <c r="P35" s="46" t="s">
        <v>50</v>
      </c>
      <c r="Q35" s="47"/>
      <c r="R35" s="47"/>
      <c r="S35" s="46"/>
      <c r="T35" s="46"/>
      <c r="U35" s="46"/>
      <c r="V35" s="46"/>
    </row>
    <row r="36" spans="1:22" ht="11.25">
      <c r="A36" s="20"/>
      <c r="B36" s="22"/>
      <c r="C36" s="4"/>
      <c r="D36" s="48"/>
      <c r="E36" s="49"/>
      <c r="F36" s="50" t="s">
        <v>46</v>
      </c>
      <c r="G36" s="305">
        <v>0</v>
      </c>
      <c r="H36" s="305"/>
      <c r="I36" s="56"/>
      <c r="J36" s="305">
        <v>0</v>
      </c>
      <c r="K36" s="305"/>
      <c r="L36" s="56"/>
      <c r="M36" s="305">
        <v>0</v>
      </c>
      <c r="N36" s="306"/>
      <c r="O36"/>
      <c r="P36" s="46" t="s">
        <v>49</v>
      </c>
      <c r="Q36" s="47"/>
      <c r="R36" s="47"/>
      <c r="S36" s="46"/>
      <c r="T36" s="46"/>
      <c r="U36" s="46"/>
      <c r="V36" s="46"/>
    </row>
    <row r="37" spans="1:18" s="69" customFormat="1" ht="11.25">
      <c r="A37" s="64"/>
      <c r="B37" s="65"/>
      <c r="C37" s="66"/>
      <c r="D37" s="66"/>
      <c r="E37" s="5"/>
      <c r="F37" s="67"/>
      <c r="G37" s="70"/>
      <c r="H37" s="70"/>
      <c r="I37" s="68"/>
      <c r="J37" s="70"/>
      <c r="K37" s="70"/>
      <c r="L37" s="68"/>
      <c r="M37" s="70"/>
      <c r="N37" s="71"/>
      <c r="O37" s="12"/>
      <c r="Q37" s="12"/>
      <c r="R37" s="12"/>
    </row>
    <row r="38" spans="1:22" ht="11.25">
      <c r="A38" s="20"/>
      <c r="B38" s="22"/>
      <c r="C38" s="4"/>
      <c r="D38" s="48"/>
      <c r="E38" s="49"/>
      <c r="F38" s="50" t="s">
        <v>66</v>
      </c>
      <c r="G38" s="305">
        <f>1000+1136</f>
        <v>2136</v>
      </c>
      <c r="H38" s="305"/>
      <c r="I38" s="56"/>
      <c r="J38" s="305">
        <f>1230+1004</f>
        <v>2234</v>
      </c>
      <c r="K38" s="305"/>
      <c r="L38" s="56"/>
      <c r="M38" s="305">
        <f>781+1610</f>
        <v>2391</v>
      </c>
      <c r="N38" s="306"/>
      <c r="O38"/>
      <c r="P38" s="46" t="s">
        <v>72</v>
      </c>
      <c r="Q38" s="47"/>
      <c r="R38" s="47"/>
      <c r="S38" s="46"/>
      <c r="T38" s="46"/>
      <c r="U38" s="46"/>
      <c r="V38" s="46"/>
    </row>
    <row r="39" spans="1:22" ht="11.25">
      <c r="A39" s="20"/>
      <c r="B39" s="22"/>
      <c r="C39" s="4"/>
      <c r="D39" s="48"/>
      <c r="E39" s="49"/>
      <c r="F39" s="50" t="s">
        <v>65</v>
      </c>
      <c r="G39" s="299">
        <v>672</v>
      </c>
      <c r="H39" s="300"/>
      <c r="I39" s="56"/>
      <c r="J39" s="299">
        <v>691</v>
      </c>
      <c r="K39" s="300"/>
      <c r="L39" s="56"/>
      <c r="M39" s="299">
        <v>758</v>
      </c>
      <c r="N39" s="301"/>
      <c r="O39"/>
      <c r="P39" s="46" t="s">
        <v>73</v>
      </c>
      <c r="Q39" s="47"/>
      <c r="R39" s="47"/>
      <c r="S39" s="46"/>
      <c r="T39" s="46"/>
      <c r="U39" s="46"/>
      <c r="V39" s="46"/>
    </row>
    <row r="40" spans="1:22" ht="11.25">
      <c r="A40" s="20"/>
      <c r="B40" s="22"/>
      <c r="C40" s="4"/>
      <c r="D40" s="48"/>
      <c r="E40" s="49"/>
      <c r="F40" s="50" t="s">
        <v>67</v>
      </c>
      <c r="G40" s="302">
        <v>1165</v>
      </c>
      <c r="H40" s="303"/>
      <c r="I40" s="56"/>
      <c r="J40" s="302">
        <v>812</v>
      </c>
      <c r="K40" s="303"/>
      <c r="L40" s="56"/>
      <c r="M40" s="302">
        <v>578</v>
      </c>
      <c r="N40" s="304"/>
      <c r="O40"/>
      <c r="P40" s="46" t="s">
        <v>75</v>
      </c>
      <c r="Q40" s="47"/>
      <c r="R40" s="47"/>
      <c r="S40" s="46"/>
      <c r="T40" s="46"/>
      <c r="U40" s="46"/>
      <c r="V40" s="46"/>
    </row>
    <row r="41" spans="1:22" ht="11.25">
      <c r="A41" s="20"/>
      <c r="B41" s="22"/>
      <c r="C41" s="4"/>
      <c r="D41" s="48"/>
      <c r="E41" s="49"/>
      <c r="F41" s="50" t="s">
        <v>68</v>
      </c>
      <c r="G41" s="302">
        <v>0</v>
      </c>
      <c r="H41" s="303"/>
      <c r="I41" s="56"/>
      <c r="J41" s="302">
        <v>0</v>
      </c>
      <c r="K41" s="303"/>
      <c r="L41" s="56"/>
      <c r="M41" s="302">
        <v>0</v>
      </c>
      <c r="N41" s="304"/>
      <c r="O41"/>
      <c r="P41" s="46" t="s">
        <v>74</v>
      </c>
      <c r="Q41" s="47"/>
      <c r="R41" s="47"/>
      <c r="S41" s="46"/>
      <c r="T41" s="46"/>
      <c r="U41" s="46"/>
      <c r="V41" s="46"/>
    </row>
    <row r="42" spans="1:18" ht="11.25">
      <c r="A42" s="20"/>
      <c r="B42" s="4"/>
      <c r="C42" s="4"/>
      <c r="D42" s="4"/>
      <c r="E42" s="3"/>
      <c r="F42" s="3"/>
      <c r="G42" s="9"/>
      <c r="H42" s="9"/>
      <c r="I42" s="22"/>
      <c r="J42" s="9"/>
      <c r="K42" s="9"/>
      <c r="L42" s="22"/>
      <c r="M42" s="9"/>
      <c r="N42" s="26"/>
      <c r="O42"/>
      <c r="P42"/>
      <c r="Q42"/>
      <c r="R42"/>
    </row>
    <row r="43" spans="1:18" ht="11.25">
      <c r="A43" s="20"/>
      <c r="B43" s="22"/>
      <c r="C43" s="4"/>
      <c r="D43" s="4"/>
      <c r="E43" s="3"/>
      <c r="F43" s="29" t="s">
        <v>22</v>
      </c>
      <c r="G43" s="302">
        <f>+(G11+G18)/(G33+G34)</f>
        <v>826.3917525773196</v>
      </c>
      <c r="H43" s="303"/>
      <c r="I43" s="22"/>
      <c r="J43" s="302">
        <f>+(J11+J18)/(J33+J34)</f>
        <v>725.631067961165</v>
      </c>
      <c r="K43" s="303"/>
      <c r="L43" s="22"/>
      <c r="M43" s="302">
        <f>+(M11+M18)/(M33+M34)</f>
        <v>709.9047619047619</v>
      </c>
      <c r="N43" s="303"/>
      <c r="O43"/>
      <c r="P43" t="s">
        <v>32</v>
      </c>
      <c r="Q43"/>
      <c r="R43"/>
    </row>
    <row r="44" spans="1:18" ht="11.25">
      <c r="A44" s="20"/>
      <c r="B44" s="22"/>
      <c r="C44" s="4"/>
      <c r="D44" s="4"/>
      <c r="E44" s="3"/>
      <c r="F44" s="29" t="s">
        <v>216</v>
      </c>
      <c r="G44" s="332">
        <f>(G11+G18)/SUM(G33:H36)</f>
        <v>607.2727272727273</v>
      </c>
      <c r="H44" s="332"/>
      <c r="I44" s="22"/>
      <c r="J44" s="332">
        <f>(J11+J18)/SUM(J33:K36)</f>
        <v>607.6422764227642</v>
      </c>
      <c r="K44" s="332"/>
      <c r="L44" s="22"/>
      <c r="M44" s="332">
        <f>(M11+M18)/SUM(M33:N36)</f>
        <v>634.3829787234042</v>
      </c>
      <c r="N44" s="332"/>
      <c r="O44"/>
      <c r="P44"/>
      <c r="Q44"/>
      <c r="R44"/>
    </row>
    <row r="45" spans="1:17" ht="11.25">
      <c r="A45" s="20"/>
      <c r="B45" s="4"/>
      <c r="C45" s="4"/>
      <c r="D45" s="4"/>
      <c r="E45" s="3"/>
      <c r="F45" s="3"/>
      <c r="G45" s="34" t="s">
        <v>24</v>
      </c>
      <c r="H45" s="34" t="s">
        <v>23</v>
      </c>
      <c r="I45" s="28"/>
      <c r="J45" s="34" t="s">
        <v>24</v>
      </c>
      <c r="K45" s="34" t="s">
        <v>23</v>
      </c>
      <c r="L45" s="28"/>
      <c r="M45" s="34" t="s">
        <v>24</v>
      </c>
      <c r="N45" s="35" t="s">
        <v>23</v>
      </c>
      <c r="O45" s="14"/>
      <c r="P45" s="13"/>
      <c r="Q45" s="31"/>
    </row>
    <row r="46" spans="1:22" ht="11.25">
      <c r="A46" s="20"/>
      <c r="B46" s="4"/>
      <c r="C46" s="4"/>
      <c r="D46" s="52"/>
      <c r="E46" s="53"/>
      <c r="F46" s="54" t="s">
        <v>25</v>
      </c>
      <c r="G46" s="76">
        <v>7</v>
      </c>
      <c r="H46" s="32">
        <f>G46/(G46+G47+G48+G49)</f>
        <v>0.875</v>
      </c>
      <c r="I46" s="28"/>
      <c r="J46" s="76">
        <v>7</v>
      </c>
      <c r="K46" s="32">
        <f>J46/(J46+J47+J48+J49)</f>
        <v>0.875</v>
      </c>
      <c r="L46" s="28"/>
      <c r="M46" s="76">
        <v>7</v>
      </c>
      <c r="N46" s="36">
        <f>M46/(M46+M47+M48+M49)</f>
        <v>0.875</v>
      </c>
      <c r="O46" s="14"/>
      <c r="P46" s="55" t="s">
        <v>84</v>
      </c>
      <c r="Q46" s="51"/>
      <c r="R46" s="55"/>
      <c r="S46" s="55"/>
      <c r="T46" s="55"/>
      <c r="U46" s="55"/>
      <c r="V46" s="55"/>
    </row>
    <row r="47" spans="1:22" ht="11.25">
      <c r="A47" s="20"/>
      <c r="B47" s="4"/>
      <c r="C47" s="4"/>
      <c r="D47" s="52"/>
      <c r="E47" s="53"/>
      <c r="F47" s="54" t="s">
        <v>13</v>
      </c>
      <c r="G47" s="76">
        <v>1</v>
      </c>
      <c r="H47" s="32">
        <f>G47/(G46+G47+G48+G49)</f>
        <v>0.125</v>
      </c>
      <c r="I47" s="28"/>
      <c r="J47" s="76">
        <v>1</v>
      </c>
      <c r="K47" s="32">
        <f>J47/(J46+J47+J48+J49)</f>
        <v>0.125</v>
      </c>
      <c r="L47" s="28"/>
      <c r="M47" s="76">
        <v>1</v>
      </c>
      <c r="N47" s="36">
        <f>M47/(M46+M47+M48+M49)</f>
        <v>0.125</v>
      </c>
      <c r="O47" s="14"/>
      <c r="P47" s="55" t="s">
        <v>84</v>
      </c>
      <c r="Q47" s="51"/>
      <c r="R47" s="55"/>
      <c r="S47" s="55"/>
      <c r="T47" s="55"/>
      <c r="U47" s="55"/>
      <c r="V47" s="55"/>
    </row>
    <row r="48" spans="1:22" ht="11.25">
      <c r="A48" s="20"/>
      <c r="B48" s="4"/>
      <c r="C48" s="4"/>
      <c r="D48" s="52"/>
      <c r="E48" s="53"/>
      <c r="F48" s="54" t="s">
        <v>51</v>
      </c>
      <c r="G48" s="76">
        <v>0</v>
      </c>
      <c r="H48" s="32">
        <f>G48/(G46+G47+G48+G49)</f>
        <v>0</v>
      </c>
      <c r="I48" s="28"/>
      <c r="J48" s="76">
        <v>0</v>
      </c>
      <c r="K48" s="32">
        <f>J48/(J46+J47+J48+J49)</f>
        <v>0</v>
      </c>
      <c r="L48" s="28"/>
      <c r="M48" s="76">
        <v>0</v>
      </c>
      <c r="N48" s="36">
        <f>M48/(M46+M47+M48+M49)</f>
        <v>0</v>
      </c>
      <c r="O48" s="14"/>
      <c r="P48" s="55" t="s">
        <v>85</v>
      </c>
      <c r="Q48" s="51"/>
      <c r="R48" s="55"/>
      <c r="S48" s="55"/>
      <c r="T48" s="55"/>
      <c r="U48" s="55"/>
      <c r="V48" s="55"/>
    </row>
    <row r="49" spans="1:22" ht="11.25">
      <c r="A49" s="20"/>
      <c r="B49" s="4"/>
      <c r="C49" s="4"/>
      <c r="D49" s="52"/>
      <c r="E49" s="53"/>
      <c r="F49" s="54" t="s">
        <v>52</v>
      </c>
      <c r="G49" s="76">
        <v>0</v>
      </c>
      <c r="H49" s="32">
        <f>G49/(G46+G47+G48+G49)</f>
        <v>0</v>
      </c>
      <c r="I49" s="28"/>
      <c r="J49" s="76">
        <v>0</v>
      </c>
      <c r="K49" s="32">
        <f>J49/(J46+J47+J48+J49)</f>
        <v>0</v>
      </c>
      <c r="L49" s="28"/>
      <c r="M49" s="76">
        <v>0</v>
      </c>
      <c r="N49" s="36">
        <f>M49/(M46+M47+M48+M49)</f>
        <v>0</v>
      </c>
      <c r="O49" s="14"/>
      <c r="P49" s="55" t="s">
        <v>85</v>
      </c>
      <c r="Q49" s="51"/>
      <c r="R49" s="55"/>
      <c r="S49" s="55"/>
      <c r="T49" s="55"/>
      <c r="U49" s="55"/>
      <c r="V49" s="55"/>
    </row>
    <row r="50" spans="1:14" ht="11.25">
      <c r="A50" s="21" t="s">
        <v>4</v>
      </c>
      <c r="B50" s="22"/>
      <c r="C50" s="4"/>
      <c r="D50" s="4"/>
      <c r="E50" s="3"/>
      <c r="F50" s="3"/>
      <c r="G50" s="8"/>
      <c r="H50" s="8"/>
      <c r="I50" s="3"/>
      <c r="J50" s="8"/>
      <c r="K50" s="8"/>
      <c r="L50" s="3"/>
      <c r="M50" s="8"/>
      <c r="N50" s="25"/>
    </row>
    <row r="51" spans="1:16" ht="11.25">
      <c r="A51" s="21"/>
      <c r="B51" s="22"/>
      <c r="C51" s="4"/>
      <c r="D51" s="4"/>
      <c r="E51" s="3"/>
      <c r="F51" s="63" t="s">
        <v>77</v>
      </c>
      <c r="G51" s="293">
        <v>0.877</v>
      </c>
      <c r="H51" s="294"/>
      <c r="I51" s="72"/>
      <c r="J51" s="293">
        <v>0.858</v>
      </c>
      <c r="K51" s="294"/>
      <c r="L51" s="72"/>
      <c r="M51" s="293">
        <v>0.867</v>
      </c>
      <c r="N51" s="295"/>
      <c r="P51" s="10" t="s">
        <v>87</v>
      </c>
    </row>
    <row r="52" spans="1:16" ht="11.25">
      <c r="A52" s="21"/>
      <c r="B52" s="22"/>
      <c r="C52" s="4"/>
      <c r="D52" s="4"/>
      <c r="E52" s="3"/>
      <c r="F52" s="63" t="s">
        <v>76</v>
      </c>
      <c r="G52" s="293">
        <v>0.188</v>
      </c>
      <c r="H52" s="294"/>
      <c r="I52" s="72"/>
      <c r="J52" s="293">
        <v>0.174</v>
      </c>
      <c r="K52" s="294"/>
      <c r="L52" s="72"/>
      <c r="M52" s="293">
        <v>0.183</v>
      </c>
      <c r="N52" s="295"/>
      <c r="P52" s="10" t="s">
        <v>79</v>
      </c>
    </row>
    <row r="53" spans="1:16" ht="11" customHeight="1">
      <c r="A53" s="20"/>
      <c r="B53" s="23"/>
      <c r="C53" s="4"/>
      <c r="D53" s="4"/>
      <c r="E53" s="3"/>
      <c r="F53" s="29" t="s">
        <v>10</v>
      </c>
      <c r="G53" s="296">
        <v>17</v>
      </c>
      <c r="H53" s="297"/>
      <c r="I53" s="3"/>
      <c r="J53" s="296">
        <v>14</v>
      </c>
      <c r="K53" s="297"/>
      <c r="L53" s="3"/>
      <c r="M53" s="296">
        <v>8</v>
      </c>
      <c r="N53" s="298"/>
      <c r="P53" s="10" t="s">
        <v>34</v>
      </c>
    </row>
    <row r="54" spans="1:16" ht="11.25">
      <c r="A54" s="20"/>
      <c r="B54" s="23"/>
      <c r="C54" s="4"/>
      <c r="D54" s="4"/>
      <c r="E54" s="3"/>
      <c r="F54" s="29" t="s">
        <v>8</v>
      </c>
      <c r="G54" s="296">
        <v>19</v>
      </c>
      <c r="H54" s="297"/>
      <c r="I54" s="14"/>
      <c r="J54" s="296">
        <v>18</v>
      </c>
      <c r="K54" s="297"/>
      <c r="L54" s="14"/>
      <c r="M54" s="296">
        <v>17</v>
      </c>
      <c r="N54" s="298"/>
      <c r="P54" s="10" t="s">
        <v>36</v>
      </c>
    </row>
    <row r="55" spans="1:16" ht="11.25">
      <c r="A55" s="20"/>
      <c r="B55" s="23"/>
      <c r="C55" s="4"/>
      <c r="D55" s="4"/>
      <c r="E55" s="3"/>
      <c r="F55" s="42" t="s">
        <v>11</v>
      </c>
      <c r="G55" s="296">
        <v>14.8</v>
      </c>
      <c r="H55" s="297"/>
      <c r="I55" s="3"/>
      <c r="J55" s="296">
        <v>17.1</v>
      </c>
      <c r="K55" s="297"/>
      <c r="L55" s="3"/>
      <c r="M55" s="296">
        <v>16.7</v>
      </c>
      <c r="N55" s="298"/>
      <c r="P55" s="10" t="s">
        <v>42</v>
      </c>
    </row>
    <row r="56" spans="1:19" ht="11.25">
      <c r="A56" s="20"/>
      <c r="B56" s="22"/>
      <c r="C56" s="4"/>
      <c r="D56" s="4"/>
      <c r="E56" s="3"/>
      <c r="F56" s="29" t="s">
        <v>9</v>
      </c>
      <c r="G56" s="293">
        <v>1</v>
      </c>
      <c r="H56" s="294"/>
      <c r="I56" s="3"/>
      <c r="J56" s="293">
        <v>0.93</v>
      </c>
      <c r="K56" s="294"/>
      <c r="L56" s="3"/>
      <c r="M56" s="293">
        <v>0.86</v>
      </c>
      <c r="N56" s="295"/>
      <c r="P56" s="10" t="s">
        <v>37</v>
      </c>
      <c r="Q56"/>
      <c r="R56"/>
      <c r="S56"/>
    </row>
    <row r="57" spans="1:19" ht="11.25">
      <c r="A57" s="20"/>
      <c r="B57" s="22"/>
      <c r="C57" s="4"/>
      <c r="D57" s="4"/>
      <c r="E57" s="27"/>
      <c r="F57" s="29" t="s">
        <v>12</v>
      </c>
      <c r="G57" s="296">
        <v>0</v>
      </c>
      <c r="H57" s="297"/>
      <c r="I57" s="28"/>
      <c r="J57" s="296">
        <v>0</v>
      </c>
      <c r="K57" s="297"/>
      <c r="L57" s="28"/>
      <c r="M57" s="296">
        <v>0</v>
      </c>
      <c r="N57" s="298"/>
      <c r="P57" s="10" t="s">
        <v>38</v>
      </c>
      <c r="Q57"/>
      <c r="R57"/>
      <c r="S57"/>
    </row>
    <row r="58" spans="1:19" ht="11.25">
      <c r="A58" s="20"/>
      <c r="B58" s="22"/>
      <c r="C58" s="4"/>
      <c r="D58" s="4"/>
      <c r="E58" s="3"/>
      <c r="F58" s="29" t="s">
        <v>19</v>
      </c>
      <c r="G58" s="293">
        <v>0.078</v>
      </c>
      <c r="H58" s="294"/>
      <c r="I58" s="28"/>
      <c r="J58" s="293">
        <v>0.08</v>
      </c>
      <c r="K58" s="294"/>
      <c r="L58" s="28"/>
      <c r="M58" s="293">
        <v>0.077</v>
      </c>
      <c r="N58" s="295"/>
      <c r="P58" s="10" t="s">
        <v>39</v>
      </c>
      <c r="Q58"/>
      <c r="R58"/>
      <c r="S58"/>
    </row>
    <row r="59" spans="1:19" ht="11.25">
      <c r="A59" s="20"/>
      <c r="B59" s="22"/>
      <c r="C59" s="4"/>
      <c r="D59" s="4"/>
      <c r="E59" s="3"/>
      <c r="F59" s="29" t="s">
        <v>0</v>
      </c>
      <c r="G59" s="293">
        <v>0</v>
      </c>
      <c r="H59" s="294"/>
      <c r="I59" s="28"/>
      <c r="J59" s="293">
        <v>0</v>
      </c>
      <c r="K59" s="294"/>
      <c r="L59" s="28"/>
      <c r="M59" s="293">
        <v>-0.019</v>
      </c>
      <c r="N59" s="295"/>
      <c r="P59" s="10" t="s">
        <v>40</v>
      </c>
      <c r="Q59"/>
      <c r="R59"/>
      <c r="S59"/>
    </row>
    <row r="60" spans="1:14" ht="11.25">
      <c r="A60" s="21" t="s">
        <v>1</v>
      </c>
      <c r="B60" s="28"/>
      <c r="C60" s="28"/>
      <c r="D60" s="28"/>
      <c r="E60" s="28"/>
      <c r="F60" s="28"/>
      <c r="G60" s="28"/>
      <c r="H60" s="28"/>
      <c r="I60" s="28"/>
      <c r="J60" s="28"/>
      <c r="K60" s="28"/>
      <c r="L60" s="28"/>
      <c r="M60" s="28"/>
      <c r="N60" s="33"/>
    </row>
    <row r="61" spans="1:16" ht="11.25">
      <c r="A61" s="37"/>
      <c r="B61" s="28"/>
      <c r="C61" s="28"/>
      <c r="D61" s="28"/>
      <c r="E61" s="28"/>
      <c r="F61" s="28"/>
      <c r="G61" s="28"/>
      <c r="H61" s="28"/>
      <c r="I61" s="28"/>
      <c r="J61" s="28"/>
      <c r="K61" s="28"/>
      <c r="L61" s="28"/>
      <c r="M61" s="28"/>
      <c r="N61" s="33"/>
      <c r="P61" t="s">
        <v>35</v>
      </c>
    </row>
    <row r="62" spans="1:14" ht="11.25">
      <c r="A62" s="38"/>
      <c r="B62" s="23"/>
      <c r="C62" s="23"/>
      <c r="D62" s="23"/>
      <c r="E62" s="23"/>
      <c r="F62" s="23"/>
      <c r="G62" s="23"/>
      <c r="H62" s="23"/>
      <c r="I62" s="23"/>
      <c r="J62" s="23"/>
      <c r="K62" s="23"/>
      <c r="L62" s="23"/>
      <c r="M62" s="23"/>
      <c r="N62" s="24"/>
    </row>
    <row r="63" spans="1:14" ht="11.25">
      <c r="A63" s="38"/>
      <c r="B63" s="23"/>
      <c r="C63" s="23"/>
      <c r="D63" s="23"/>
      <c r="E63" s="23"/>
      <c r="F63" s="23"/>
      <c r="G63" s="23"/>
      <c r="H63" s="23"/>
      <c r="I63" s="23"/>
      <c r="J63" s="23"/>
      <c r="K63" s="23"/>
      <c r="L63" s="23"/>
      <c r="M63" s="23"/>
      <c r="N63" s="24"/>
    </row>
    <row r="64" spans="1:16" ht="11.25">
      <c r="A64" s="38"/>
      <c r="B64" s="23"/>
      <c r="C64" s="23"/>
      <c r="D64" s="23"/>
      <c r="E64" s="23"/>
      <c r="F64" s="23"/>
      <c r="G64" s="23"/>
      <c r="H64" s="23"/>
      <c r="I64" s="23"/>
      <c r="J64" s="23"/>
      <c r="K64" s="23"/>
      <c r="L64" s="23"/>
      <c r="M64" s="23"/>
      <c r="N64" s="24"/>
      <c r="P64" s="44" t="s">
        <v>41</v>
      </c>
    </row>
    <row r="65" spans="1:14" ht="11.25">
      <c r="A65" s="38"/>
      <c r="B65" s="23"/>
      <c r="C65" s="23"/>
      <c r="D65" s="23"/>
      <c r="E65" s="23"/>
      <c r="F65" s="23"/>
      <c r="G65" s="23"/>
      <c r="H65" s="23"/>
      <c r="I65" s="23"/>
      <c r="J65" s="23"/>
      <c r="K65" s="23"/>
      <c r="L65" s="23"/>
      <c r="M65" s="23"/>
      <c r="N65" s="24"/>
    </row>
    <row r="66" spans="1:14" ht="12.75" thickBot="1">
      <c r="A66" s="39"/>
      <c r="B66" s="40"/>
      <c r="C66" s="40"/>
      <c r="D66" s="40"/>
      <c r="E66" s="40"/>
      <c r="F66" s="40"/>
      <c r="G66" s="40"/>
      <c r="H66" s="40"/>
      <c r="I66" s="40"/>
      <c r="J66" s="40"/>
      <c r="K66" s="40"/>
      <c r="L66" s="40"/>
      <c r="M66" s="40"/>
      <c r="N66" s="41"/>
    </row>
  </sheetData>
  <mergeCells count="122">
    <mergeCell ref="G5:H5"/>
    <mergeCell ref="G6:H6"/>
    <mergeCell ref="G7:H7"/>
    <mergeCell ref="G8:H8"/>
    <mergeCell ref="G9:H9"/>
    <mergeCell ref="J9:K9"/>
    <mergeCell ref="G2:N2"/>
    <mergeCell ref="G3:H3"/>
    <mergeCell ref="J3:K3"/>
    <mergeCell ref="M3:N3"/>
    <mergeCell ref="G4:H4"/>
    <mergeCell ref="J4:K4"/>
    <mergeCell ref="M4:N4"/>
    <mergeCell ref="G13:H13"/>
    <mergeCell ref="J13:K13"/>
    <mergeCell ref="M13:N13"/>
    <mergeCell ref="G14:H14"/>
    <mergeCell ref="J14:K14"/>
    <mergeCell ref="M14:N14"/>
    <mergeCell ref="M9:N9"/>
    <mergeCell ref="G11:H11"/>
    <mergeCell ref="J11:K11"/>
    <mergeCell ref="M11:N11"/>
    <mergeCell ref="G12:H12"/>
    <mergeCell ref="J12:K12"/>
    <mergeCell ref="M12:N12"/>
    <mergeCell ref="G18:H18"/>
    <mergeCell ref="J18:K18"/>
    <mergeCell ref="M18:N18"/>
    <mergeCell ref="G19:H19"/>
    <mergeCell ref="J19:K19"/>
    <mergeCell ref="M19:N19"/>
    <mergeCell ref="G15:H15"/>
    <mergeCell ref="J15:K15"/>
    <mergeCell ref="M15:N15"/>
    <mergeCell ref="G16:H16"/>
    <mergeCell ref="J16:K16"/>
    <mergeCell ref="M16:N16"/>
    <mergeCell ref="G22:H22"/>
    <mergeCell ref="J22:K22"/>
    <mergeCell ref="M22:N22"/>
    <mergeCell ref="G24:H24"/>
    <mergeCell ref="J24:K24"/>
    <mergeCell ref="M24:N24"/>
    <mergeCell ref="G20:H20"/>
    <mergeCell ref="J20:K20"/>
    <mergeCell ref="M20:N20"/>
    <mergeCell ref="G21:H21"/>
    <mergeCell ref="J21:K21"/>
    <mergeCell ref="M21:N21"/>
    <mergeCell ref="G28:H28"/>
    <mergeCell ref="J28:K28"/>
    <mergeCell ref="M28:N28"/>
    <mergeCell ref="G29:H29"/>
    <mergeCell ref="J29:K29"/>
    <mergeCell ref="M29:N29"/>
    <mergeCell ref="G25:H25"/>
    <mergeCell ref="J25:K25"/>
    <mergeCell ref="M25:N25"/>
    <mergeCell ref="G27:H27"/>
    <mergeCell ref="J27:K27"/>
    <mergeCell ref="M27:N27"/>
    <mergeCell ref="G34:H34"/>
    <mergeCell ref="J34:K34"/>
    <mergeCell ref="M34:N34"/>
    <mergeCell ref="G35:H35"/>
    <mergeCell ref="J35:K35"/>
    <mergeCell ref="M35:N35"/>
    <mergeCell ref="G31:H31"/>
    <mergeCell ref="J31:K31"/>
    <mergeCell ref="M31:N31"/>
    <mergeCell ref="G33:H33"/>
    <mergeCell ref="J33:K33"/>
    <mergeCell ref="M33:N33"/>
    <mergeCell ref="G39:H39"/>
    <mergeCell ref="J39:K39"/>
    <mergeCell ref="M39:N39"/>
    <mergeCell ref="G40:H40"/>
    <mergeCell ref="J40:K40"/>
    <mergeCell ref="M40:N40"/>
    <mergeCell ref="G36:H36"/>
    <mergeCell ref="J36:K36"/>
    <mergeCell ref="M36:N36"/>
    <mergeCell ref="G38:H38"/>
    <mergeCell ref="J38:K38"/>
    <mergeCell ref="M38:N38"/>
    <mergeCell ref="G51:H51"/>
    <mergeCell ref="J51:K51"/>
    <mergeCell ref="M51:N51"/>
    <mergeCell ref="G52:H52"/>
    <mergeCell ref="J52:K52"/>
    <mergeCell ref="M52:N52"/>
    <mergeCell ref="G41:H41"/>
    <mergeCell ref="J41:K41"/>
    <mergeCell ref="M41:N41"/>
    <mergeCell ref="G43:H43"/>
    <mergeCell ref="J43:K43"/>
    <mergeCell ref="M43:N43"/>
    <mergeCell ref="G59:H59"/>
    <mergeCell ref="J59:K59"/>
    <mergeCell ref="M59:N59"/>
    <mergeCell ref="G44:H44"/>
    <mergeCell ref="J44:K44"/>
    <mergeCell ref="M44:N44"/>
    <mergeCell ref="G57:H57"/>
    <mergeCell ref="J57:K57"/>
    <mergeCell ref="M57:N57"/>
    <mergeCell ref="G58:H58"/>
    <mergeCell ref="J58:K58"/>
    <mergeCell ref="M58:N58"/>
    <mergeCell ref="G55:H55"/>
    <mergeCell ref="J55:K55"/>
    <mergeCell ref="M55:N55"/>
    <mergeCell ref="G56:H56"/>
    <mergeCell ref="J56:K56"/>
    <mergeCell ref="M56:N56"/>
    <mergeCell ref="G53:H53"/>
    <mergeCell ref="J53:K53"/>
    <mergeCell ref="M53:N53"/>
    <mergeCell ref="G54:H54"/>
    <mergeCell ref="J54:K54"/>
    <mergeCell ref="M54:N54"/>
  </mergeCells>
  <printOptions/>
  <pageMargins left="0.25" right="0.25" top="0.75" bottom="0.75" header="0.3" footer="0.3"/>
  <pageSetup fitToHeight="1" fitToWidth="1" horizontalDpi="1200" verticalDpi="1200" orientation="portrait" scale="94" r:id="rId3"/>
  <colBreaks count="1" manualBreakCount="1">
    <brk id="14" max="16383" man="1"/>
  </colBreaks>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V66"/>
  <sheetViews>
    <sheetView showGridLines="0" workbookViewId="0" topLeftCell="A11">
      <selection activeCell="M43" sqref="M43:N43"/>
    </sheetView>
  </sheetViews>
  <sheetFormatPr defaultColWidth="9.00390625" defaultRowHeight="11.25"/>
  <cols>
    <col min="1" max="1" width="4.625" style="1" customWidth="1"/>
    <col min="2" max="5" width="9.00390625" style="1" customWidth="1"/>
    <col min="6" max="6" width="7.125" style="1" customWidth="1"/>
    <col min="7" max="8" width="9.125" style="1" customWidth="1"/>
    <col min="9" max="9" width="1.75390625" style="1" customWidth="1"/>
    <col min="10" max="11" width="9.125" style="1" customWidth="1"/>
    <col min="12" max="12" width="1.75390625" style="1" customWidth="1"/>
    <col min="13" max="14" width="9.125" style="1" customWidth="1"/>
    <col min="15" max="15" width="3.75390625" style="10" customWidth="1"/>
    <col min="16" max="16384" width="9.00390625" style="10" customWidth="1"/>
  </cols>
  <sheetData>
    <row r="1" spans="1:14" s="12" customFormat="1" ht="11.25">
      <c r="A1" s="17" t="s">
        <v>88</v>
      </c>
      <c r="B1" s="18"/>
      <c r="C1" s="18"/>
      <c r="D1" s="18"/>
      <c r="E1" s="18"/>
      <c r="F1" s="18"/>
      <c r="G1" s="18"/>
      <c r="H1" s="18"/>
      <c r="I1" s="18"/>
      <c r="J1" s="18"/>
      <c r="K1" s="18"/>
      <c r="L1" s="18"/>
      <c r="M1" s="18"/>
      <c r="N1" s="19"/>
    </row>
    <row r="2" spans="1:16" s="12" customFormat="1" ht="11.25">
      <c r="A2" s="20" t="s">
        <v>89</v>
      </c>
      <c r="B2" s="15"/>
      <c r="C2" s="15"/>
      <c r="D2" s="15"/>
      <c r="E2" s="15"/>
      <c r="F2" s="15"/>
      <c r="G2" s="328" t="s">
        <v>26</v>
      </c>
      <c r="H2" s="328"/>
      <c r="I2" s="328"/>
      <c r="J2" s="328"/>
      <c r="K2" s="328"/>
      <c r="L2" s="328"/>
      <c r="M2" s="328"/>
      <c r="N2" s="329"/>
      <c r="P2" s="43" t="s">
        <v>27</v>
      </c>
    </row>
    <row r="3" spans="1:14" ht="11.25">
      <c r="A3" s="45"/>
      <c r="B3" s="2"/>
      <c r="C3" s="2"/>
      <c r="D3" s="2"/>
      <c r="E3" s="2"/>
      <c r="F3" s="16" t="s">
        <v>14</v>
      </c>
      <c r="G3" s="330">
        <v>19</v>
      </c>
      <c r="H3" s="327"/>
      <c r="I3" s="2"/>
      <c r="J3" s="330">
        <v>18</v>
      </c>
      <c r="K3" s="327"/>
      <c r="L3" s="2"/>
      <c r="M3" s="330">
        <v>17</v>
      </c>
      <c r="N3" s="331"/>
    </row>
    <row r="4" spans="1:14" ht="11.25">
      <c r="A4" s="20"/>
      <c r="B4" s="2"/>
      <c r="C4" s="2"/>
      <c r="D4" s="2"/>
      <c r="E4" s="2"/>
      <c r="F4" s="16" t="s">
        <v>15</v>
      </c>
      <c r="G4" s="330" t="s">
        <v>80</v>
      </c>
      <c r="H4" s="327"/>
      <c r="I4" s="2"/>
      <c r="J4" s="330" t="s">
        <v>81</v>
      </c>
      <c r="K4" s="327"/>
      <c r="L4" s="2"/>
      <c r="M4" s="330" t="s">
        <v>82</v>
      </c>
      <c r="N4" s="331"/>
    </row>
    <row r="5" spans="1:14" ht="11.25">
      <c r="A5" s="20"/>
      <c r="B5" s="2"/>
      <c r="C5" s="2"/>
      <c r="D5" s="2"/>
      <c r="E5" s="2"/>
      <c r="F5" s="16" t="s">
        <v>16</v>
      </c>
      <c r="G5" s="321" t="s">
        <v>102</v>
      </c>
      <c r="H5" s="322"/>
      <c r="I5" s="2"/>
      <c r="J5" s="28"/>
      <c r="K5" s="28"/>
      <c r="L5" s="28"/>
      <c r="M5" s="28"/>
      <c r="N5" s="33"/>
    </row>
    <row r="6" spans="1:14" ht="11.25">
      <c r="A6" s="20"/>
      <c r="B6" s="2"/>
      <c r="C6" s="2"/>
      <c r="D6" s="2"/>
      <c r="E6" s="2"/>
      <c r="F6" s="16" t="s">
        <v>17</v>
      </c>
      <c r="G6" s="323" t="s">
        <v>122</v>
      </c>
      <c r="H6" s="323"/>
      <c r="I6" s="2"/>
      <c r="J6" s="28"/>
      <c r="K6" s="28"/>
      <c r="L6" s="28"/>
      <c r="M6" s="28"/>
      <c r="N6" s="33"/>
    </row>
    <row r="7" spans="1:14" ht="11.25">
      <c r="A7" s="20"/>
      <c r="B7" s="2"/>
      <c r="C7" s="2"/>
      <c r="D7" s="2"/>
      <c r="E7" s="2"/>
      <c r="F7" s="16" t="s">
        <v>33</v>
      </c>
      <c r="G7" s="324" t="s">
        <v>101</v>
      </c>
      <c r="H7" s="325"/>
      <c r="I7" s="2"/>
      <c r="J7" s="28"/>
      <c r="K7" s="28"/>
      <c r="L7" s="28"/>
      <c r="M7" s="28"/>
      <c r="N7" s="33"/>
    </row>
    <row r="8" spans="1:14" ht="11.25">
      <c r="A8" s="20"/>
      <c r="B8" s="2"/>
      <c r="C8" s="2"/>
      <c r="D8" s="2"/>
      <c r="E8" s="2"/>
      <c r="F8" s="16" t="s">
        <v>18</v>
      </c>
      <c r="G8" s="326">
        <v>43929</v>
      </c>
      <c r="H8" s="327"/>
      <c r="I8" s="2"/>
      <c r="J8" s="28"/>
      <c r="K8" s="28"/>
      <c r="L8" s="28"/>
      <c r="M8" s="28"/>
      <c r="N8" s="33"/>
    </row>
    <row r="9" spans="1:14" ht="12.75">
      <c r="A9" s="21" t="s">
        <v>2</v>
      </c>
      <c r="B9" s="22"/>
      <c r="C9" s="4"/>
      <c r="D9" s="4"/>
      <c r="E9" s="3"/>
      <c r="F9" s="3"/>
      <c r="G9" s="319"/>
      <c r="H9" s="319"/>
      <c r="I9" s="3"/>
      <c r="J9" s="319"/>
      <c r="K9" s="319"/>
      <c r="L9" s="3"/>
      <c r="M9" s="319"/>
      <c r="N9" s="320"/>
    </row>
    <row r="10" spans="1:15" ht="12.75">
      <c r="A10" s="20"/>
      <c r="B10" s="22" t="s">
        <v>56</v>
      </c>
      <c r="C10" s="4"/>
      <c r="D10" s="4"/>
      <c r="E10" s="3"/>
      <c r="F10" s="29"/>
      <c r="G10" s="58"/>
      <c r="H10" s="58"/>
      <c r="I10" s="5"/>
      <c r="J10" s="58"/>
      <c r="K10" s="58"/>
      <c r="L10" s="5"/>
      <c r="M10" s="58"/>
      <c r="N10" s="59"/>
      <c r="O10" s="11"/>
    </row>
    <row r="11" spans="1:16" ht="11.25">
      <c r="A11" s="20"/>
      <c r="B11" s="22"/>
      <c r="C11" s="6"/>
      <c r="D11" s="6"/>
      <c r="E11" s="7"/>
      <c r="F11" s="30" t="s">
        <v>7</v>
      </c>
      <c r="G11" s="313">
        <v>17548</v>
      </c>
      <c r="H11" s="314"/>
      <c r="I11" s="5"/>
      <c r="J11" s="313">
        <v>16187</v>
      </c>
      <c r="K11" s="314"/>
      <c r="L11" s="5"/>
      <c r="M11" s="313">
        <v>14038</v>
      </c>
      <c r="N11" s="315"/>
      <c r="P11" s="10" t="s">
        <v>28</v>
      </c>
    </row>
    <row r="12" spans="1:16" ht="12.75">
      <c r="A12" s="20"/>
      <c r="B12" s="22"/>
      <c r="C12" s="4"/>
      <c r="D12" s="4"/>
      <c r="E12" s="3"/>
      <c r="F12" s="29" t="s">
        <v>5</v>
      </c>
      <c r="G12" s="316">
        <v>0.118</v>
      </c>
      <c r="H12" s="317"/>
      <c r="I12" s="5"/>
      <c r="J12" s="316">
        <v>0.1</v>
      </c>
      <c r="K12" s="317"/>
      <c r="L12" s="5"/>
      <c r="M12" s="316">
        <v>0.034</v>
      </c>
      <c r="N12" s="318"/>
      <c r="O12" s="11"/>
      <c r="P12" s="10" t="s">
        <v>29</v>
      </c>
    </row>
    <row r="13" spans="1:16" ht="12.75">
      <c r="A13" s="20"/>
      <c r="B13" s="22"/>
      <c r="C13" s="4"/>
      <c r="D13" s="4"/>
      <c r="E13" s="3"/>
      <c r="F13" s="29" t="s">
        <v>53</v>
      </c>
      <c r="G13" s="313">
        <v>5</v>
      </c>
      <c r="H13" s="314"/>
      <c r="I13" s="5"/>
      <c r="J13" s="313">
        <v>3</v>
      </c>
      <c r="K13" s="314"/>
      <c r="L13" s="5"/>
      <c r="M13" s="313">
        <v>3</v>
      </c>
      <c r="N13" s="315"/>
      <c r="O13" s="11"/>
      <c r="P13" s="10" t="s">
        <v>71</v>
      </c>
    </row>
    <row r="14" spans="1:16" ht="12.75">
      <c r="A14" s="20"/>
      <c r="B14" s="22"/>
      <c r="C14" s="4"/>
      <c r="D14" s="4"/>
      <c r="E14" s="3"/>
      <c r="F14" s="29" t="s">
        <v>54</v>
      </c>
      <c r="G14" s="313">
        <f>691-G15</f>
        <v>484</v>
      </c>
      <c r="H14" s="314"/>
      <c r="I14" s="5"/>
      <c r="J14" s="313">
        <f>701-J15</f>
        <v>467</v>
      </c>
      <c r="K14" s="314"/>
      <c r="L14" s="5"/>
      <c r="M14" s="313">
        <f>635-M15</f>
        <v>406</v>
      </c>
      <c r="N14" s="315"/>
      <c r="O14" s="11"/>
      <c r="P14" s="10" t="s">
        <v>70</v>
      </c>
    </row>
    <row r="15" spans="1:16" ht="12.75">
      <c r="A15" s="20"/>
      <c r="B15" s="22"/>
      <c r="C15" s="4"/>
      <c r="D15" s="4"/>
      <c r="E15" s="3"/>
      <c r="F15" s="29" t="s">
        <v>55</v>
      </c>
      <c r="G15" s="313">
        <f>122+27+57+1</f>
        <v>207</v>
      </c>
      <c r="H15" s="314"/>
      <c r="I15" s="5"/>
      <c r="J15" s="313">
        <f>122+41+71</f>
        <v>234</v>
      </c>
      <c r="K15" s="314"/>
      <c r="L15" s="5"/>
      <c r="M15" s="313">
        <f>144+40+45</f>
        <v>229</v>
      </c>
      <c r="N15" s="315"/>
      <c r="O15" s="11"/>
      <c r="P15" s="10" t="s">
        <v>69</v>
      </c>
    </row>
    <row r="16" spans="1:16" ht="12.75">
      <c r="A16" s="20"/>
      <c r="B16" s="22"/>
      <c r="C16" s="4"/>
      <c r="D16" s="4"/>
      <c r="E16" s="3"/>
      <c r="F16" s="29" t="s">
        <v>78</v>
      </c>
      <c r="G16" s="313">
        <v>126</v>
      </c>
      <c r="H16" s="314"/>
      <c r="I16" s="5"/>
      <c r="J16" s="313">
        <v>135</v>
      </c>
      <c r="K16" s="314"/>
      <c r="L16" s="5"/>
      <c r="M16" s="313">
        <v>100</v>
      </c>
      <c r="N16" s="315"/>
      <c r="O16" s="11"/>
      <c r="P16" s="10" t="s">
        <v>86</v>
      </c>
    </row>
    <row r="17" spans="1:15" ht="12.75">
      <c r="A17" s="20"/>
      <c r="B17" s="22" t="s">
        <v>57</v>
      </c>
      <c r="C17" s="4"/>
      <c r="D17" s="4"/>
      <c r="E17" s="3"/>
      <c r="F17" s="29"/>
      <c r="G17" s="58"/>
      <c r="H17" s="58"/>
      <c r="I17" s="5"/>
      <c r="J17" s="58"/>
      <c r="K17" s="58"/>
      <c r="L17" s="5"/>
      <c r="M17" s="58"/>
      <c r="N17" s="59"/>
      <c r="O17" s="11"/>
    </row>
    <row r="18" spans="1:16" ht="11.25">
      <c r="A18" s="20"/>
      <c r="B18" s="22"/>
      <c r="C18" s="6"/>
      <c r="D18" s="6"/>
      <c r="E18" s="7"/>
      <c r="F18" s="30" t="s">
        <v>7</v>
      </c>
      <c r="G18" s="313"/>
      <c r="H18" s="314"/>
      <c r="I18" s="5"/>
      <c r="J18" s="313"/>
      <c r="K18" s="314"/>
      <c r="L18" s="5"/>
      <c r="M18" s="313"/>
      <c r="N18" s="315"/>
      <c r="P18" s="10" t="s">
        <v>28</v>
      </c>
    </row>
    <row r="19" spans="1:16" ht="12.75">
      <c r="A19" s="20"/>
      <c r="B19" s="22"/>
      <c r="C19" s="4"/>
      <c r="D19" s="4"/>
      <c r="E19" s="3"/>
      <c r="F19" s="29" t="s">
        <v>5</v>
      </c>
      <c r="G19" s="316"/>
      <c r="H19" s="317"/>
      <c r="I19" s="5"/>
      <c r="J19" s="316"/>
      <c r="K19" s="317"/>
      <c r="L19" s="5"/>
      <c r="M19" s="316"/>
      <c r="N19" s="318"/>
      <c r="O19" s="11"/>
      <c r="P19" s="10" t="s">
        <v>29</v>
      </c>
    </row>
    <row r="20" spans="1:16" ht="12.75">
      <c r="A20" s="20"/>
      <c r="B20" s="22"/>
      <c r="C20" s="4"/>
      <c r="D20" s="4"/>
      <c r="E20" s="3"/>
      <c r="F20" s="29" t="s">
        <v>58</v>
      </c>
      <c r="G20" s="313"/>
      <c r="H20" s="314"/>
      <c r="I20" s="5"/>
      <c r="J20" s="313"/>
      <c r="K20" s="314"/>
      <c r="L20" s="5"/>
      <c r="M20" s="313"/>
      <c r="N20" s="315"/>
      <c r="O20" s="11"/>
      <c r="P20" s="10" t="s">
        <v>71</v>
      </c>
    </row>
    <row r="21" spans="1:16" ht="12.75">
      <c r="A21" s="20"/>
      <c r="B21" s="22"/>
      <c r="C21" s="4"/>
      <c r="D21" s="4"/>
      <c r="E21" s="3"/>
      <c r="F21" s="29" t="s">
        <v>59</v>
      </c>
      <c r="G21" s="313"/>
      <c r="H21" s="314"/>
      <c r="I21" s="5"/>
      <c r="J21" s="313"/>
      <c r="K21" s="314"/>
      <c r="L21" s="5"/>
      <c r="M21" s="313"/>
      <c r="N21" s="315"/>
      <c r="O21" s="11"/>
      <c r="P21" s="10" t="s">
        <v>83</v>
      </c>
    </row>
    <row r="22" spans="1:16" ht="12.75">
      <c r="A22" s="20"/>
      <c r="B22" s="22"/>
      <c r="C22" s="4"/>
      <c r="D22" s="4"/>
      <c r="E22" s="3"/>
      <c r="F22" s="29" t="s">
        <v>78</v>
      </c>
      <c r="G22" s="313"/>
      <c r="H22" s="314"/>
      <c r="I22" s="5"/>
      <c r="J22" s="313"/>
      <c r="K22" s="314"/>
      <c r="L22" s="5"/>
      <c r="M22" s="313"/>
      <c r="N22" s="315"/>
      <c r="O22" s="11"/>
      <c r="P22" s="10" t="s">
        <v>86</v>
      </c>
    </row>
    <row r="23" spans="1:14" ht="11.25">
      <c r="A23" s="20"/>
      <c r="B23" s="4" t="s">
        <v>6</v>
      </c>
      <c r="C23" s="4"/>
      <c r="D23" s="4"/>
      <c r="E23" s="3"/>
      <c r="F23" s="3"/>
      <c r="G23" s="23"/>
      <c r="H23" s="23"/>
      <c r="I23" s="5"/>
      <c r="J23" s="23"/>
      <c r="K23" s="23"/>
      <c r="L23" s="5"/>
      <c r="M23" s="23"/>
      <c r="N23" s="24"/>
    </row>
    <row r="24" spans="1:16" ht="11.25">
      <c r="A24" s="20"/>
      <c r="B24" s="22"/>
      <c r="C24" s="4"/>
      <c r="D24" s="4"/>
      <c r="E24" s="3"/>
      <c r="F24" s="29" t="s">
        <v>20</v>
      </c>
      <c r="G24" s="293">
        <v>0.907</v>
      </c>
      <c r="H24" s="294"/>
      <c r="I24" s="3"/>
      <c r="J24" s="293">
        <v>0.93</v>
      </c>
      <c r="K24" s="294"/>
      <c r="L24" s="3"/>
      <c r="M24" s="293">
        <v>0.92</v>
      </c>
      <c r="N24" s="295"/>
      <c r="P24" s="10" t="s">
        <v>30</v>
      </c>
    </row>
    <row r="25" spans="1:16" ht="11.25">
      <c r="A25" s="20"/>
      <c r="B25" s="22"/>
      <c r="C25" s="4"/>
      <c r="D25" s="4"/>
      <c r="E25" s="3"/>
      <c r="F25" s="29" t="s">
        <v>21</v>
      </c>
      <c r="G25" s="293">
        <v>0.093</v>
      </c>
      <c r="H25" s="294"/>
      <c r="I25" s="3"/>
      <c r="J25" s="293">
        <v>0.07</v>
      </c>
      <c r="K25" s="294"/>
      <c r="L25" s="3"/>
      <c r="M25" s="293">
        <v>0.08</v>
      </c>
      <c r="N25" s="295"/>
      <c r="P25" s="10" t="s">
        <v>31</v>
      </c>
    </row>
    <row r="26" spans="1:14" ht="11.25">
      <c r="A26" s="62" t="s">
        <v>60</v>
      </c>
      <c r="B26" s="22"/>
      <c r="C26" s="4"/>
      <c r="D26" s="4"/>
      <c r="E26" s="3"/>
      <c r="F26" s="29"/>
      <c r="G26" s="60"/>
      <c r="H26" s="60"/>
      <c r="I26" s="5"/>
      <c r="J26" s="60"/>
      <c r="K26" s="60"/>
      <c r="L26" s="5"/>
      <c r="M26" s="60"/>
      <c r="N26" s="61"/>
    </row>
    <row r="27" spans="1:16" ht="11.25">
      <c r="A27" s="20"/>
      <c r="B27" s="22"/>
      <c r="C27" s="4"/>
      <c r="D27" s="4"/>
      <c r="E27" s="3"/>
      <c r="F27" s="29" t="s">
        <v>61</v>
      </c>
      <c r="G27" s="313">
        <f>'[2]FY19'!$R$1603-G28</f>
        <v>1585837.395</v>
      </c>
      <c r="H27" s="314"/>
      <c r="I27" s="5"/>
      <c r="J27" s="313">
        <f>'[2]FY18'!$R$1486-J28</f>
        <v>1540485.825</v>
      </c>
      <c r="K27" s="314"/>
      <c r="L27" s="5"/>
      <c r="M27" s="313">
        <f>'[2]FY17'!$R$1238-M28</f>
        <v>1285567.18</v>
      </c>
      <c r="N27" s="315"/>
      <c r="P27" s="10" t="s">
        <v>91</v>
      </c>
    </row>
    <row r="28" spans="1:16" ht="11.25">
      <c r="A28" s="20"/>
      <c r="B28" s="22"/>
      <c r="C28" s="4"/>
      <c r="D28" s="4"/>
      <c r="E28" s="3"/>
      <c r="F28" s="29" t="s">
        <v>62</v>
      </c>
      <c r="G28" s="313">
        <f>'[2]FY19'!$R$147</f>
        <v>18631.230000000007</v>
      </c>
      <c r="H28" s="314"/>
      <c r="I28" s="5"/>
      <c r="J28" s="313">
        <f>'[2]FY18'!$R$148</f>
        <v>17946.775000000012</v>
      </c>
      <c r="K28" s="314"/>
      <c r="L28" s="5"/>
      <c r="M28" s="313">
        <f>'[2]FY17'!$R$122</f>
        <v>16356.680000000004</v>
      </c>
      <c r="N28" s="315"/>
      <c r="P28" s="10" t="s">
        <v>91</v>
      </c>
    </row>
    <row r="29" spans="1:16" ht="11.25">
      <c r="A29" s="20"/>
      <c r="B29" s="22"/>
      <c r="C29" s="4"/>
      <c r="D29" s="4"/>
      <c r="E29" s="3"/>
      <c r="F29" s="29" t="s">
        <v>63</v>
      </c>
      <c r="G29" s="310">
        <f>'[2]FY19B'!$S$7954</f>
        <v>458956.0949999998</v>
      </c>
      <c r="H29" s="311"/>
      <c r="I29" s="5"/>
      <c r="J29" s="310">
        <f>'[2]FY18B'!$R$6452</f>
        <v>447873.3999999998</v>
      </c>
      <c r="K29" s="311"/>
      <c r="L29" s="5"/>
      <c r="M29" s="310">
        <f>'[2]FY17B'!$S$5597</f>
        <v>371694.3699999998</v>
      </c>
      <c r="N29" s="312"/>
      <c r="P29" s="10" t="s">
        <v>90</v>
      </c>
    </row>
    <row r="30" spans="1:14" ht="11.25">
      <c r="A30" s="20"/>
      <c r="B30" s="22"/>
      <c r="C30" s="4"/>
      <c r="D30" s="4"/>
      <c r="E30" s="3"/>
      <c r="F30" s="29"/>
      <c r="G30" s="73"/>
      <c r="H30" s="74"/>
      <c r="I30" s="5"/>
      <c r="J30" s="73"/>
      <c r="K30" s="74"/>
      <c r="L30" s="5"/>
      <c r="M30" s="73"/>
      <c r="N30" s="75"/>
    </row>
    <row r="31" spans="1:18" ht="11.25">
      <c r="A31" s="20"/>
      <c r="B31" s="4"/>
      <c r="C31" s="4"/>
      <c r="D31" s="4"/>
      <c r="E31" s="3"/>
      <c r="F31" s="63" t="s">
        <v>64</v>
      </c>
      <c r="G31" s="299">
        <f>(SUM(G27:G29))/(G11+G18)</f>
        <v>117.58745839981763</v>
      </c>
      <c r="H31" s="300"/>
      <c r="I31" s="22"/>
      <c r="J31" s="299">
        <f>SUM(J27:K29)/(J11+J18)</f>
        <v>123.94551183048122</v>
      </c>
      <c r="K31" s="300"/>
      <c r="L31" s="22"/>
      <c r="M31" s="299">
        <f>SUM(M27:N29)/(M11+M18)</f>
        <v>119.22056062117109</v>
      </c>
      <c r="N31" s="301"/>
      <c r="O31"/>
      <c r="P31" t="s">
        <v>32</v>
      </c>
      <c r="Q31"/>
      <c r="R31"/>
    </row>
    <row r="32" spans="1:14" ht="11.25">
      <c r="A32" s="21" t="s">
        <v>3</v>
      </c>
      <c r="B32" s="22"/>
      <c r="C32" s="4"/>
      <c r="D32" s="4"/>
      <c r="E32" s="3"/>
      <c r="F32" s="3"/>
      <c r="G32" s="8"/>
      <c r="H32" s="8"/>
      <c r="I32" s="3"/>
      <c r="J32" s="8"/>
      <c r="K32" s="8"/>
      <c r="L32" s="3"/>
      <c r="M32" s="8"/>
      <c r="N32" s="25"/>
    </row>
    <row r="33" spans="1:22" ht="11.25">
      <c r="A33" s="20"/>
      <c r="B33" s="22"/>
      <c r="C33" s="4"/>
      <c r="D33" s="48"/>
      <c r="E33" s="49"/>
      <c r="F33" s="50" t="s">
        <v>43</v>
      </c>
      <c r="G33" s="302">
        <f>4.8+3.9</f>
        <v>8.7</v>
      </c>
      <c r="H33" s="303"/>
      <c r="I33" s="56"/>
      <c r="J33" s="302">
        <f>4+2.9</f>
        <v>6.9</v>
      </c>
      <c r="K33" s="303"/>
      <c r="L33" s="56"/>
      <c r="M33" s="302">
        <f>5.4+3.1</f>
        <v>8.5</v>
      </c>
      <c r="N33" s="304"/>
      <c r="O33"/>
      <c r="P33" s="46" t="s">
        <v>47</v>
      </c>
      <c r="Q33" s="47"/>
      <c r="R33" s="47"/>
      <c r="S33" s="46"/>
      <c r="T33" s="46"/>
      <c r="U33" s="46"/>
      <c r="V33" s="46"/>
    </row>
    <row r="34" spans="1:22" ht="11.25">
      <c r="A34" s="20"/>
      <c r="B34" s="22"/>
      <c r="C34" s="4"/>
      <c r="D34" s="48"/>
      <c r="E34" s="49"/>
      <c r="F34" s="50" t="s">
        <v>44</v>
      </c>
      <c r="G34" s="302">
        <f>5.4/36*45</f>
        <v>6.750000000000001</v>
      </c>
      <c r="H34" s="303"/>
      <c r="I34" s="56"/>
      <c r="J34" s="302">
        <f>6.6/36*45</f>
        <v>8.25</v>
      </c>
      <c r="K34" s="303"/>
      <c r="L34" s="56"/>
      <c r="M34" s="302">
        <f>4.3/36*45</f>
        <v>5.375</v>
      </c>
      <c r="N34" s="304"/>
      <c r="O34"/>
      <c r="P34" s="46" t="s">
        <v>48</v>
      </c>
      <c r="Q34" s="47"/>
      <c r="R34" s="47"/>
      <c r="S34" s="46"/>
      <c r="T34" s="46"/>
      <c r="U34" s="46"/>
      <c r="V34" s="46"/>
    </row>
    <row r="35" spans="1:22" ht="11.25">
      <c r="A35" s="20"/>
      <c r="B35" s="22"/>
      <c r="C35" s="4"/>
      <c r="D35" s="48"/>
      <c r="E35" s="49"/>
      <c r="F35" s="50" t="s">
        <v>45</v>
      </c>
      <c r="G35" s="307">
        <f>5.1/36*45</f>
        <v>6.375</v>
      </c>
      <c r="H35" s="308"/>
      <c r="I35" s="56"/>
      <c r="J35" s="307">
        <f>2.9/36*45</f>
        <v>3.6249999999999996</v>
      </c>
      <c r="K35" s="308"/>
      <c r="L35" s="56"/>
      <c r="M35" s="307">
        <f>2.3/36*45</f>
        <v>2.875</v>
      </c>
      <c r="N35" s="309"/>
      <c r="O35"/>
      <c r="P35" s="46" t="s">
        <v>50</v>
      </c>
      <c r="Q35" s="47"/>
      <c r="R35" s="47"/>
      <c r="S35" s="46"/>
      <c r="T35" s="46"/>
      <c r="U35" s="46"/>
      <c r="V35" s="46"/>
    </row>
    <row r="36" spans="1:22" ht="11.25">
      <c r="A36" s="20"/>
      <c r="B36" s="22"/>
      <c r="C36" s="4"/>
      <c r="D36" s="48"/>
      <c r="E36" s="49"/>
      <c r="F36" s="50" t="s">
        <v>46</v>
      </c>
      <c r="G36" s="305">
        <v>0</v>
      </c>
      <c r="H36" s="305"/>
      <c r="I36" s="56"/>
      <c r="J36" s="305">
        <v>0</v>
      </c>
      <c r="K36" s="305"/>
      <c r="L36" s="56"/>
      <c r="M36" s="305">
        <v>0</v>
      </c>
      <c r="N36" s="306"/>
      <c r="O36"/>
      <c r="P36" s="46" t="s">
        <v>49</v>
      </c>
      <c r="Q36" s="47"/>
      <c r="R36" s="47"/>
      <c r="S36" s="46"/>
      <c r="T36" s="46"/>
      <c r="U36" s="46"/>
      <c r="V36" s="46"/>
    </row>
    <row r="37" spans="1:18" s="69" customFormat="1" ht="11.25">
      <c r="A37" s="64"/>
      <c r="B37" s="65"/>
      <c r="C37" s="66"/>
      <c r="D37" s="66"/>
      <c r="E37" s="5"/>
      <c r="F37" s="67"/>
      <c r="G37" s="70"/>
      <c r="H37" s="70"/>
      <c r="I37" s="68"/>
      <c r="J37" s="70"/>
      <c r="K37" s="70"/>
      <c r="L37" s="68"/>
      <c r="M37" s="70"/>
      <c r="N37" s="71"/>
      <c r="O37" s="12"/>
      <c r="Q37" s="12"/>
      <c r="R37" s="12"/>
    </row>
    <row r="38" spans="1:22" ht="11.25">
      <c r="A38" s="20"/>
      <c r="B38" s="22"/>
      <c r="C38" s="4"/>
      <c r="D38" s="48"/>
      <c r="E38" s="49"/>
      <c r="F38" s="50" t="s">
        <v>66</v>
      </c>
      <c r="G38" s="305">
        <f>3404+2755</f>
        <v>6159</v>
      </c>
      <c r="H38" s="305"/>
      <c r="I38" s="56"/>
      <c r="J38" s="305">
        <f>3632+2231</f>
        <v>5863</v>
      </c>
      <c r="K38" s="305"/>
      <c r="L38" s="56"/>
      <c r="M38" s="305">
        <f>4771+2497</f>
        <v>7268</v>
      </c>
      <c r="N38" s="306"/>
      <c r="O38"/>
      <c r="P38" s="46" t="s">
        <v>72</v>
      </c>
      <c r="Q38" s="47"/>
      <c r="R38" s="47"/>
      <c r="S38" s="46"/>
      <c r="T38" s="46"/>
      <c r="U38" s="46"/>
      <c r="V38" s="46"/>
    </row>
    <row r="39" spans="1:22" ht="11.25">
      <c r="A39" s="20"/>
      <c r="B39" s="22"/>
      <c r="C39" s="4"/>
      <c r="D39" s="48"/>
      <c r="E39" s="49"/>
      <c r="F39" s="50" t="s">
        <v>65</v>
      </c>
      <c r="G39" s="299">
        <v>5783</v>
      </c>
      <c r="H39" s="300"/>
      <c r="I39" s="56"/>
      <c r="J39" s="299">
        <v>7432</v>
      </c>
      <c r="K39" s="300"/>
      <c r="L39" s="56"/>
      <c r="M39" s="299">
        <v>4439</v>
      </c>
      <c r="N39" s="301"/>
      <c r="O39"/>
      <c r="P39" s="46" t="s">
        <v>73</v>
      </c>
      <c r="Q39" s="47"/>
      <c r="R39" s="47"/>
      <c r="S39" s="46"/>
      <c r="T39" s="46"/>
      <c r="U39" s="46"/>
      <c r="V39" s="46"/>
    </row>
    <row r="40" spans="1:22" ht="11.25">
      <c r="A40" s="20"/>
      <c r="B40" s="22"/>
      <c r="C40" s="4"/>
      <c r="D40" s="48"/>
      <c r="E40" s="49"/>
      <c r="F40" s="50" t="s">
        <v>67</v>
      </c>
      <c r="G40" s="302">
        <v>5581</v>
      </c>
      <c r="H40" s="303"/>
      <c r="I40" s="56"/>
      <c r="J40" s="302">
        <v>2752</v>
      </c>
      <c r="K40" s="303"/>
      <c r="L40" s="56"/>
      <c r="M40" s="302">
        <v>2332</v>
      </c>
      <c r="N40" s="304"/>
      <c r="O40"/>
      <c r="P40" s="46" t="s">
        <v>75</v>
      </c>
      <c r="Q40" s="47"/>
      <c r="R40" s="47"/>
      <c r="S40" s="46"/>
      <c r="T40" s="46"/>
      <c r="U40" s="46"/>
      <c r="V40" s="46"/>
    </row>
    <row r="41" spans="1:22" ht="11.25">
      <c r="A41" s="20"/>
      <c r="B41" s="22"/>
      <c r="C41" s="4"/>
      <c r="D41" s="48"/>
      <c r="E41" s="49"/>
      <c r="F41" s="50" t="s">
        <v>68</v>
      </c>
      <c r="G41" s="302">
        <v>0</v>
      </c>
      <c r="H41" s="303"/>
      <c r="I41" s="56"/>
      <c r="J41" s="302">
        <v>0</v>
      </c>
      <c r="K41" s="303"/>
      <c r="L41" s="56"/>
      <c r="M41" s="302">
        <v>0</v>
      </c>
      <c r="N41" s="304"/>
      <c r="O41"/>
      <c r="P41" s="46" t="s">
        <v>74</v>
      </c>
      <c r="Q41" s="47"/>
      <c r="R41" s="47"/>
      <c r="S41" s="46"/>
      <c r="T41" s="46"/>
      <c r="U41" s="46"/>
      <c r="V41" s="46"/>
    </row>
    <row r="42" spans="1:18" ht="11.25">
      <c r="A42" s="20"/>
      <c r="B42" s="4"/>
      <c r="C42" s="4"/>
      <c r="D42" s="4"/>
      <c r="E42" s="3"/>
      <c r="F42" s="3"/>
      <c r="G42" s="9"/>
      <c r="H42" s="9"/>
      <c r="I42" s="22"/>
      <c r="J42" s="9"/>
      <c r="K42" s="9"/>
      <c r="L42" s="22"/>
      <c r="M42" s="9"/>
      <c r="N42" s="26"/>
      <c r="O42"/>
      <c r="P42"/>
      <c r="Q42"/>
      <c r="R42"/>
    </row>
    <row r="43" spans="1:18" ht="11.25">
      <c r="A43" s="20"/>
      <c r="B43" s="22"/>
      <c r="C43" s="4"/>
      <c r="D43" s="4"/>
      <c r="E43" s="3"/>
      <c r="F43" s="29" t="s">
        <v>22</v>
      </c>
      <c r="G43" s="302">
        <f>+(G11+G18)/(G33+G34)</f>
        <v>1135.7928802588997</v>
      </c>
      <c r="H43" s="303"/>
      <c r="I43" s="22"/>
      <c r="J43" s="302">
        <f>+(J11+J18)/(J33+J34)</f>
        <v>1068.4488448844884</v>
      </c>
      <c r="K43" s="303"/>
      <c r="L43" s="22"/>
      <c r="M43" s="302">
        <f>+(M11+M18)/(M33+M34)</f>
        <v>1011.7477477477478</v>
      </c>
      <c r="N43" s="303"/>
      <c r="O43"/>
      <c r="P43" t="s">
        <v>32</v>
      </c>
      <c r="Q43"/>
      <c r="R43"/>
    </row>
    <row r="44" spans="1:18" ht="11.25">
      <c r="A44" s="20"/>
      <c r="B44" s="22"/>
      <c r="C44" s="4"/>
      <c r="D44" s="4"/>
      <c r="E44" s="3"/>
      <c r="F44" s="29" t="s">
        <v>216</v>
      </c>
      <c r="G44" s="332">
        <f>(G11+G18)/SUM(G33:H36)</f>
        <v>804.0320733104238</v>
      </c>
      <c r="H44" s="332"/>
      <c r="I44" s="22"/>
      <c r="J44" s="332">
        <f>(J11+J18)/SUM(J33:K36)</f>
        <v>862.1571238348869</v>
      </c>
      <c r="K44" s="332"/>
      <c r="L44" s="22"/>
      <c r="M44" s="332">
        <f>(M11+M18)/SUM(M33:N36)</f>
        <v>838.0895522388059</v>
      </c>
      <c r="N44" s="332"/>
      <c r="O44"/>
      <c r="P44"/>
      <c r="Q44"/>
      <c r="R44"/>
    </row>
    <row r="45" spans="1:17" ht="11.25">
      <c r="A45" s="20"/>
      <c r="B45" s="4"/>
      <c r="C45" s="4"/>
      <c r="D45" s="4"/>
      <c r="E45" s="3"/>
      <c r="F45" s="3"/>
      <c r="G45" s="34" t="s">
        <v>24</v>
      </c>
      <c r="H45" s="34" t="s">
        <v>23</v>
      </c>
      <c r="I45" s="28"/>
      <c r="J45" s="34" t="s">
        <v>24</v>
      </c>
      <c r="K45" s="34" t="s">
        <v>23</v>
      </c>
      <c r="L45" s="28"/>
      <c r="M45" s="34" t="s">
        <v>24</v>
      </c>
      <c r="N45" s="35" t="s">
        <v>23</v>
      </c>
      <c r="O45" s="14"/>
      <c r="P45" s="13"/>
      <c r="Q45" s="31"/>
    </row>
    <row r="46" spans="1:22" ht="11.25">
      <c r="A46" s="20"/>
      <c r="B46" s="4"/>
      <c r="C46" s="4"/>
      <c r="D46" s="52"/>
      <c r="E46" s="53"/>
      <c r="F46" s="54" t="s">
        <v>25</v>
      </c>
      <c r="G46" s="76">
        <v>10</v>
      </c>
      <c r="H46" s="32">
        <f>G46/(G46+G47+G48+G49)</f>
        <v>0.6666666666666666</v>
      </c>
      <c r="I46" s="28"/>
      <c r="J46" s="76">
        <v>10</v>
      </c>
      <c r="K46" s="32">
        <f>J46/(J46+J47+J48+J49)</f>
        <v>0.625</v>
      </c>
      <c r="L46" s="28"/>
      <c r="M46" s="76">
        <v>9</v>
      </c>
      <c r="N46" s="36">
        <f>M46/(M46+M47+M48+M49)</f>
        <v>0.6923076923076923</v>
      </c>
      <c r="O46" s="14"/>
      <c r="P46" s="55" t="s">
        <v>84</v>
      </c>
      <c r="Q46" s="51"/>
      <c r="R46" s="55"/>
      <c r="S46" s="55"/>
      <c r="T46" s="55"/>
      <c r="U46" s="55"/>
      <c r="V46" s="55"/>
    </row>
    <row r="47" spans="1:22" ht="11.25">
      <c r="A47" s="20"/>
      <c r="B47" s="4"/>
      <c r="C47" s="4"/>
      <c r="D47" s="52"/>
      <c r="E47" s="53"/>
      <c r="F47" s="54" t="s">
        <v>13</v>
      </c>
      <c r="G47" s="76">
        <v>5</v>
      </c>
      <c r="H47" s="32">
        <f>G47/(G46+G47+G48+G49)</f>
        <v>0.3333333333333333</v>
      </c>
      <c r="I47" s="28"/>
      <c r="J47" s="76">
        <v>6</v>
      </c>
      <c r="K47" s="32">
        <f>J47/(J46+J47+J48+J49)</f>
        <v>0.375</v>
      </c>
      <c r="L47" s="28"/>
      <c r="M47" s="76">
        <v>4</v>
      </c>
      <c r="N47" s="36">
        <f>M47/(M46+M47+M48+M49)</f>
        <v>0.3076923076923077</v>
      </c>
      <c r="O47" s="14"/>
      <c r="P47" s="55" t="s">
        <v>84</v>
      </c>
      <c r="Q47" s="51"/>
      <c r="R47" s="55"/>
      <c r="S47" s="55"/>
      <c r="T47" s="55"/>
      <c r="U47" s="55"/>
      <c r="V47" s="55"/>
    </row>
    <row r="48" spans="1:22" ht="11.25">
      <c r="A48" s="20"/>
      <c r="B48" s="4"/>
      <c r="C48" s="4"/>
      <c r="D48" s="52"/>
      <c r="E48" s="53"/>
      <c r="F48" s="54" t="s">
        <v>51</v>
      </c>
      <c r="G48" s="76">
        <v>0</v>
      </c>
      <c r="H48" s="32">
        <f>G48/(G46+G47+G48+G49)</f>
        <v>0</v>
      </c>
      <c r="I48" s="28"/>
      <c r="J48" s="76">
        <v>0</v>
      </c>
      <c r="K48" s="32">
        <f>J48/(J46+J47+J48+J49)</f>
        <v>0</v>
      </c>
      <c r="L48" s="28"/>
      <c r="M48" s="76">
        <v>0</v>
      </c>
      <c r="N48" s="36">
        <f>M48/(M46+M47+M48+M49)</f>
        <v>0</v>
      </c>
      <c r="O48" s="14"/>
      <c r="P48" s="55" t="s">
        <v>85</v>
      </c>
      <c r="Q48" s="51"/>
      <c r="R48" s="55"/>
      <c r="S48" s="55"/>
      <c r="T48" s="55"/>
      <c r="U48" s="55"/>
      <c r="V48" s="55"/>
    </row>
    <row r="49" spans="1:22" ht="11.25">
      <c r="A49" s="20"/>
      <c r="B49" s="4"/>
      <c r="C49" s="4"/>
      <c r="D49" s="52"/>
      <c r="E49" s="53"/>
      <c r="F49" s="54" t="s">
        <v>52</v>
      </c>
      <c r="G49" s="76">
        <v>0</v>
      </c>
      <c r="H49" s="32">
        <f>G49/(G46+G47+G48+G49)</f>
        <v>0</v>
      </c>
      <c r="I49" s="28"/>
      <c r="J49" s="76">
        <v>0</v>
      </c>
      <c r="K49" s="32">
        <f>J49/(J46+J47+J48+J49)</f>
        <v>0</v>
      </c>
      <c r="L49" s="28"/>
      <c r="M49" s="76">
        <v>0</v>
      </c>
      <c r="N49" s="36">
        <f>M49/(M46+M47+M48+M49)</f>
        <v>0</v>
      </c>
      <c r="O49" s="14"/>
      <c r="P49" s="55" t="s">
        <v>85</v>
      </c>
      <c r="Q49" s="51"/>
      <c r="R49" s="55"/>
      <c r="S49" s="55"/>
      <c r="T49" s="55"/>
      <c r="U49" s="55"/>
      <c r="V49" s="55"/>
    </row>
    <row r="50" spans="1:14" ht="11.25">
      <c r="A50" s="21" t="s">
        <v>4</v>
      </c>
      <c r="B50" s="22"/>
      <c r="C50" s="4"/>
      <c r="D50" s="4"/>
      <c r="E50" s="3"/>
      <c r="F50" s="3"/>
      <c r="G50" s="8"/>
      <c r="H50" s="8"/>
      <c r="I50" s="3"/>
      <c r="J50" s="8"/>
      <c r="K50" s="8"/>
      <c r="L50" s="3"/>
      <c r="M50" s="8"/>
      <c r="N50" s="25"/>
    </row>
    <row r="51" spans="1:16" ht="11.25">
      <c r="A51" s="21"/>
      <c r="B51" s="22"/>
      <c r="C51" s="4"/>
      <c r="D51" s="4"/>
      <c r="E51" s="3"/>
      <c r="F51" s="63" t="s">
        <v>77</v>
      </c>
      <c r="G51" s="293">
        <v>0.938</v>
      </c>
      <c r="H51" s="294"/>
      <c r="I51" s="72"/>
      <c r="J51" s="293">
        <v>0.94</v>
      </c>
      <c r="K51" s="294"/>
      <c r="L51" s="72"/>
      <c r="M51" s="293">
        <v>0.94</v>
      </c>
      <c r="N51" s="295"/>
      <c r="P51" s="10" t="s">
        <v>87</v>
      </c>
    </row>
    <row r="52" spans="1:16" ht="11.25">
      <c r="A52" s="21"/>
      <c r="B52" s="22"/>
      <c r="C52" s="4"/>
      <c r="D52" s="4"/>
      <c r="E52" s="3"/>
      <c r="F52" s="63" t="s">
        <v>76</v>
      </c>
      <c r="G52" s="293">
        <v>0.152</v>
      </c>
      <c r="H52" s="294"/>
      <c r="I52" s="72"/>
      <c r="J52" s="293">
        <v>0.128</v>
      </c>
      <c r="K52" s="294"/>
      <c r="L52" s="72"/>
      <c r="M52" s="293">
        <v>0.125</v>
      </c>
      <c r="N52" s="295"/>
      <c r="P52" s="10" t="s">
        <v>79</v>
      </c>
    </row>
    <row r="53" spans="1:16" ht="11" customHeight="1">
      <c r="A53" s="20"/>
      <c r="B53" s="23"/>
      <c r="C53" s="4"/>
      <c r="D53" s="4"/>
      <c r="E53" s="3"/>
      <c r="F53" s="29" t="s">
        <v>10</v>
      </c>
      <c r="G53" s="296">
        <v>44</v>
      </c>
      <c r="H53" s="297"/>
      <c r="I53" s="3"/>
      <c r="J53" s="296">
        <v>44</v>
      </c>
      <c r="K53" s="297"/>
      <c r="L53" s="3"/>
      <c r="M53" s="296">
        <v>42</v>
      </c>
      <c r="N53" s="298"/>
      <c r="P53" s="10" t="s">
        <v>34</v>
      </c>
    </row>
    <row r="54" spans="1:16" ht="11.25">
      <c r="A54" s="20"/>
      <c r="B54" s="23"/>
      <c r="C54" s="4"/>
      <c r="D54" s="4"/>
      <c r="E54" s="3"/>
      <c r="F54" s="29" t="s">
        <v>8</v>
      </c>
      <c r="G54" s="296">
        <v>20</v>
      </c>
      <c r="H54" s="297"/>
      <c r="I54" s="14"/>
      <c r="J54" s="296">
        <v>23</v>
      </c>
      <c r="K54" s="297"/>
      <c r="L54" s="14"/>
      <c r="M54" s="296">
        <v>21</v>
      </c>
      <c r="N54" s="298"/>
      <c r="P54" s="10" t="s">
        <v>36</v>
      </c>
    </row>
    <row r="55" spans="1:16" ht="11.25">
      <c r="A55" s="20"/>
      <c r="B55" s="23"/>
      <c r="C55" s="4"/>
      <c r="D55" s="4"/>
      <c r="E55" s="3"/>
      <c r="F55" s="42" t="s">
        <v>11</v>
      </c>
      <c r="G55" s="296">
        <v>14.8</v>
      </c>
      <c r="H55" s="297"/>
      <c r="I55" s="3"/>
      <c r="J55" s="296">
        <v>17.1</v>
      </c>
      <c r="K55" s="297"/>
      <c r="L55" s="3"/>
      <c r="M55" s="296">
        <v>16.7</v>
      </c>
      <c r="N55" s="298"/>
      <c r="P55" s="10" t="s">
        <v>42</v>
      </c>
    </row>
    <row r="56" spans="1:19" ht="11.25">
      <c r="A56" s="20"/>
      <c r="B56" s="22"/>
      <c r="C56" s="4"/>
      <c r="D56" s="4"/>
      <c r="E56" s="3"/>
      <c r="F56" s="29" t="s">
        <v>9</v>
      </c>
      <c r="G56" s="293">
        <v>1</v>
      </c>
      <c r="H56" s="294"/>
      <c r="I56" s="3"/>
      <c r="J56" s="293">
        <v>1</v>
      </c>
      <c r="K56" s="294"/>
      <c r="L56" s="3"/>
      <c r="M56" s="293">
        <v>1</v>
      </c>
      <c r="N56" s="295"/>
      <c r="P56" s="10" t="s">
        <v>37</v>
      </c>
      <c r="Q56"/>
      <c r="R56"/>
      <c r="S56"/>
    </row>
    <row r="57" spans="1:19" ht="11.25">
      <c r="A57" s="20"/>
      <c r="B57" s="22"/>
      <c r="C57" s="4"/>
      <c r="D57" s="4"/>
      <c r="E57" s="27"/>
      <c r="F57" s="29" t="s">
        <v>12</v>
      </c>
      <c r="G57" s="296">
        <v>0</v>
      </c>
      <c r="H57" s="297"/>
      <c r="I57" s="28"/>
      <c r="J57" s="296">
        <v>0</v>
      </c>
      <c r="K57" s="297"/>
      <c r="L57" s="28"/>
      <c r="M57" s="296">
        <v>0</v>
      </c>
      <c r="N57" s="298"/>
      <c r="P57" s="10" t="s">
        <v>38</v>
      </c>
      <c r="Q57"/>
      <c r="R57"/>
      <c r="S57"/>
    </row>
    <row r="58" spans="1:19" ht="11.25">
      <c r="A58" s="20"/>
      <c r="B58" s="22"/>
      <c r="C58" s="4"/>
      <c r="D58" s="4"/>
      <c r="E58" s="3"/>
      <c r="F58" s="29" t="s">
        <v>19</v>
      </c>
      <c r="G58" s="293">
        <v>0.06</v>
      </c>
      <c r="H58" s="294"/>
      <c r="I58" s="28"/>
      <c r="J58" s="293">
        <v>0.048</v>
      </c>
      <c r="K58" s="294"/>
      <c r="L58" s="28"/>
      <c r="M58" s="293">
        <v>0.06</v>
      </c>
      <c r="N58" s="295"/>
      <c r="P58" s="10" t="s">
        <v>39</v>
      </c>
      <c r="Q58"/>
      <c r="R58"/>
      <c r="S58"/>
    </row>
    <row r="59" spans="1:19" ht="11.25">
      <c r="A59" s="20"/>
      <c r="B59" s="22"/>
      <c r="C59" s="4"/>
      <c r="D59" s="4"/>
      <c r="E59" s="3"/>
      <c r="F59" s="29" t="s">
        <v>0</v>
      </c>
      <c r="G59" s="293">
        <v>0.054</v>
      </c>
      <c r="H59" s="294"/>
      <c r="I59" s="28"/>
      <c r="J59" s="293">
        <v>0.061</v>
      </c>
      <c r="K59" s="294"/>
      <c r="L59" s="28"/>
      <c r="M59" s="293">
        <v>0.008</v>
      </c>
      <c r="N59" s="295"/>
      <c r="P59" s="10" t="s">
        <v>40</v>
      </c>
      <c r="Q59"/>
      <c r="R59"/>
      <c r="S59"/>
    </row>
    <row r="60" spans="1:14" ht="11.25">
      <c r="A60" s="21" t="s">
        <v>1</v>
      </c>
      <c r="B60" s="28"/>
      <c r="C60" s="28"/>
      <c r="D60" s="28"/>
      <c r="E60" s="28"/>
      <c r="F60" s="28"/>
      <c r="G60" s="28"/>
      <c r="H60" s="28"/>
      <c r="I60" s="28"/>
      <c r="J60" s="28"/>
      <c r="K60" s="28"/>
      <c r="L60" s="28"/>
      <c r="M60" s="28"/>
      <c r="N60" s="33"/>
    </row>
    <row r="61" spans="1:16" ht="11.25">
      <c r="A61" s="37"/>
      <c r="B61" s="28"/>
      <c r="C61" s="28"/>
      <c r="D61" s="28"/>
      <c r="E61" s="28"/>
      <c r="F61" s="28"/>
      <c r="G61" s="28"/>
      <c r="H61" s="28"/>
      <c r="I61" s="28"/>
      <c r="J61" s="28"/>
      <c r="K61" s="28"/>
      <c r="L61" s="28"/>
      <c r="M61" s="28"/>
      <c r="N61" s="33"/>
      <c r="P61" t="s">
        <v>35</v>
      </c>
    </row>
    <row r="62" spans="1:14" ht="11.25">
      <c r="A62" s="38"/>
      <c r="B62" s="23"/>
      <c r="C62" s="23"/>
      <c r="D62" s="23"/>
      <c r="E62" s="23"/>
      <c r="F62" s="23"/>
      <c r="G62" s="23"/>
      <c r="H62" s="23"/>
      <c r="I62" s="23"/>
      <c r="J62" s="23"/>
      <c r="K62" s="23"/>
      <c r="L62" s="23"/>
      <c r="M62" s="23"/>
      <c r="N62" s="24"/>
    </row>
    <row r="63" spans="1:14" ht="11.25">
      <c r="A63" s="38"/>
      <c r="B63" s="23"/>
      <c r="C63" s="23"/>
      <c r="D63" s="23"/>
      <c r="E63" s="23"/>
      <c r="F63" s="23"/>
      <c r="G63" s="23"/>
      <c r="H63" s="23"/>
      <c r="I63" s="23"/>
      <c r="J63" s="23"/>
      <c r="K63" s="23"/>
      <c r="L63" s="23"/>
      <c r="M63" s="23"/>
      <c r="N63" s="24"/>
    </row>
    <row r="64" spans="1:16" ht="11.25">
      <c r="A64" s="38"/>
      <c r="B64" s="23"/>
      <c r="C64" s="23"/>
      <c r="D64" s="23"/>
      <c r="E64" s="23"/>
      <c r="F64" s="23"/>
      <c r="G64" s="23"/>
      <c r="H64" s="23"/>
      <c r="I64" s="23"/>
      <c r="J64" s="23"/>
      <c r="K64" s="23"/>
      <c r="L64" s="23"/>
      <c r="M64" s="23"/>
      <c r="N64" s="24"/>
      <c r="P64" s="44" t="s">
        <v>41</v>
      </c>
    </row>
    <row r="65" spans="1:14" ht="11.25">
      <c r="A65" s="38"/>
      <c r="B65" s="23"/>
      <c r="C65" s="23"/>
      <c r="D65" s="23"/>
      <c r="E65" s="23"/>
      <c r="F65" s="23"/>
      <c r="G65" s="23"/>
      <c r="H65" s="23"/>
      <c r="I65" s="23"/>
      <c r="J65" s="23"/>
      <c r="K65" s="23"/>
      <c r="L65" s="23"/>
      <c r="M65" s="23"/>
      <c r="N65" s="24"/>
    </row>
    <row r="66" spans="1:14" ht="12.75" thickBot="1">
      <c r="A66" s="39"/>
      <c r="B66" s="40"/>
      <c r="C66" s="40"/>
      <c r="D66" s="40"/>
      <c r="E66" s="40"/>
      <c r="F66" s="40"/>
      <c r="G66" s="40"/>
      <c r="H66" s="40"/>
      <c r="I66" s="40"/>
      <c r="J66" s="40"/>
      <c r="K66" s="40"/>
      <c r="L66" s="40"/>
      <c r="M66" s="40"/>
      <c r="N66" s="41"/>
    </row>
  </sheetData>
  <mergeCells count="122">
    <mergeCell ref="G5:H5"/>
    <mergeCell ref="G6:H6"/>
    <mergeCell ref="G7:H7"/>
    <mergeCell ref="G8:H8"/>
    <mergeCell ref="G9:H9"/>
    <mergeCell ref="J9:K9"/>
    <mergeCell ref="G2:N2"/>
    <mergeCell ref="G3:H3"/>
    <mergeCell ref="J3:K3"/>
    <mergeCell ref="M3:N3"/>
    <mergeCell ref="G4:H4"/>
    <mergeCell ref="J4:K4"/>
    <mergeCell ref="M4:N4"/>
    <mergeCell ref="G13:H13"/>
    <mergeCell ref="J13:K13"/>
    <mergeCell ref="M13:N13"/>
    <mergeCell ref="G14:H14"/>
    <mergeCell ref="J14:K14"/>
    <mergeCell ref="M14:N14"/>
    <mergeCell ref="M9:N9"/>
    <mergeCell ref="G11:H11"/>
    <mergeCell ref="J11:K11"/>
    <mergeCell ref="M11:N11"/>
    <mergeCell ref="G12:H12"/>
    <mergeCell ref="J12:K12"/>
    <mergeCell ref="M12:N12"/>
    <mergeCell ref="G18:H18"/>
    <mergeCell ref="J18:K18"/>
    <mergeCell ref="M18:N18"/>
    <mergeCell ref="G19:H19"/>
    <mergeCell ref="J19:K19"/>
    <mergeCell ref="M19:N19"/>
    <mergeCell ref="G15:H15"/>
    <mergeCell ref="J15:K15"/>
    <mergeCell ref="M15:N15"/>
    <mergeCell ref="G16:H16"/>
    <mergeCell ref="J16:K16"/>
    <mergeCell ref="M16:N16"/>
    <mergeCell ref="G22:H22"/>
    <mergeCell ref="J22:K22"/>
    <mergeCell ref="M22:N22"/>
    <mergeCell ref="G24:H24"/>
    <mergeCell ref="J24:K24"/>
    <mergeCell ref="M24:N24"/>
    <mergeCell ref="G20:H20"/>
    <mergeCell ref="J20:K20"/>
    <mergeCell ref="M20:N20"/>
    <mergeCell ref="G21:H21"/>
    <mergeCell ref="J21:K21"/>
    <mergeCell ref="M21:N21"/>
    <mergeCell ref="G28:H28"/>
    <mergeCell ref="J28:K28"/>
    <mergeCell ref="M28:N28"/>
    <mergeCell ref="G29:H29"/>
    <mergeCell ref="J29:K29"/>
    <mergeCell ref="M29:N29"/>
    <mergeCell ref="G25:H25"/>
    <mergeCell ref="J25:K25"/>
    <mergeCell ref="M25:N25"/>
    <mergeCell ref="G27:H27"/>
    <mergeCell ref="J27:K27"/>
    <mergeCell ref="M27:N27"/>
    <mergeCell ref="G34:H34"/>
    <mergeCell ref="J34:K34"/>
    <mergeCell ref="M34:N34"/>
    <mergeCell ref="G35:H35"/>
    <mergeCell ref="J35:K35"/>
    <mergeCell ref="M35:N35"/>
    <mergeCell ref="G31:H31"/>
    <mergeCell ref="J31:K31"/>
    <mergeCell ref="M31:N31"/>
    <mergeCell ref="G33:H33"/>
    <mergeCell ref="J33:K33"/>
    <mergeCell ref="M33:N33"/>
    <mergeCell ref="G39:H39"/>
    <mergeCell ref="J39:K39"/>
    <mergeCell ref="M39:N39"/>
    <mergeCell ref="G40:H40"/>
    <mergeCell ref="J40:K40"/>
    <mergeCell ref="M40:N40"/>
    <mergeCell ref="G36:H36"/>
    <mergeCell ref="J36:K36"/>
    <mergeCell ref="M36:N36"/>
    <mergeCell ref="G38:H38"/>
    <mergeCell ref="J38:K38"/>
    <mergeCell ref="M38:N38"/>
    <mergeCell ref="G51:H51"/>
    <mergeCell ref="J51:K51"/>
    <mergeCell ref="M51:N51"/>
    <mergeCell ref="G52:H52"/>
    <mergeCell ref="J52:K52"/>
    <mergeCell ref="M52:N52"/>
    <mergeCell ref="G41:H41"/>
    <mergeCell ref="J41:K41"/>
    <mergeCell ref="M41:N41"/>
    <mergeCell ref="G43:H43"/>
    <mergeCell ref="J43:K43"/>
    <mergeCell ref="M43:N43"/>
    <mergeCell ref="G59:H59"/>
    <mergeCell ref="J59:K59"/>
    <mergeCell ref="M59:N59"/>
    <mergeCell ref="G44:H44"/>
    <mergeCell ref="J44:K44"/>
    <mergeCell ref="M44:N44"/>
    <mergeCell ref="G57:H57"/>
    <mergeCell ref="J57:K57"/>
    <mergeCell ref="M57:N57"/>
    <mergeCell ref="G58:H58"/>
    <mergeCell ref="J58:K58"/>
    <mergeCell ref="M58:N58"/>
    <mergeCell ref="G55:H55"/>
    <mergeCell ref="J55:K55"/>
    <mergeCell ref="M55:N55"/>
    <mergeCell ref="G56:H56"/>
    <mergeCell ref="J56:K56"/>
    <mergeCell ref="M56:N56"/>
    <mergeCell ref="G53:H53"/>
    <mergeCell ref="J53:K53"/>
    <mergeCell ref="M53:N53"/>
    <mergeCell ref="G54:H54"/>
    <mergeCell ref="J54:K54"/>
    <mergeCell ref="M54:N54"/>
  </mergeCells>
  <printOptions/>
  <pageMargins left="0.25" right="0.25" top="0.75" bottom="0.75" header="0.3" footer="0.3"/>
  <pageSetup fitToHeight="1" fitToWidth="1" horizontalDpi="1200" verticalDpi="1200" orientation="portrait" scale="94" r:id="rId3"/>
  <colBreaks count="1" manualBreakCount="1">
    <brk id="14" max="16383" man="1"/>
  </colBreaks>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V65"/>
  <sheetViews>
    <sheetView showGridLines="0" workbookViewId="0" topLeftCell="A10"/>
  </sheetViews>
  <sheetFormatPr defaultColWidth="9.00390625" defaultRowHeight="11.25"/>
  <cols>
    <col min="1" max="1" width="4.625" style="1" customWidth="1"/>
    <col min="2" max="5" width="9.00390625" style="1" customWidth="1"/>
    <col min="6" max="6" width="7.125" style="1" customWidth="1"/>
    <col min="7" max="8" width="9.125" style="1" customWidth="1"/>
    <col min="9" max="9" width="1.75390625" style="1" customWidth="1"/>
    <col min="10" max="11" width="9.125" style="1" customWidth="1"/>
    <col min="12" max="12" width="1.75390625" style="1" customWidth="1"/>
    <col min="13" max="14" width="9.125" style="1" customWidth="1"/>
    <col min="15" max="15" width="3.75390625" style="10" customWidth="1"/>
    <col min="16" max="16384" width="9.00390625" style="10" customWidth="1"/>
  </cols>
  <sheetData>
    <row r="1" spans="1:14" s="12" customFormat="1" ht="11.25">
      <c r="A1" s="17" t="s">
        <v>88</v>
      </c>
      <c r="B1" s="18"/>
      <c r="C1" s="18"/>
      <c r="D1" s="18"/>
      <c r="E1" s="18"/>
      <c r="F1" s="18"/>
      <c r="G1" s="18"/>
      <c r="H1" s="18"/>
      <c r="I1" s="18"/>
      <c r="J1" s="18"/>
      <c r="K1" s="18"/>
      <c r="L1" s="18"/>
      <c r="M1" s="18"/>
      <c r="N1" s="19"/>
    </row>
    <row r="2" spans="1:16" s="12" customFormat="1" ht="11.25">
      <c r="A2" s="20" t="s">
        <v>89</v>
      </c>
      <c r="B2" s="15"/>
      <c r="C2" s="15"/>
      <c r="D2" s="15"/>
      <c r="E2" s="15"/>
      <c r="F2" s="15"/>
      <c r="G2" s="328" t="s">
        <v>26</v>
      </c>
      <c r="H2" s="328"/>
      <c r="I2" s="328"/>
      <c r="J2" s="328"/>
      <c r="K2" s="328"/>
      <c r="L2" s="328"/>
      <c r="M2" s="328"/>
      <c r="N2" s="329"/>
      <c r="P2" s="43" t="s">
        <v>27</v>
      </c>
    </row>
    <row r="3" spans="1:14" ht="11.25">
      <c r="A3" s="45"/>
      <c r="B3" s="2"/>
      <c r="C3" s="2"/>
      <c r="D3" s="2"/>
      <c r="E3" s="2"/>
      <c r="F3" s="16" t="s">
        <v>14</v>
      </c>
      <c r="G3" s="330">
        <v>19</v>
      </c>
      <c r="H3" s="327"/>
      <c r="I3" s="2"/>
      <c r="J3" s="330">
        <v>18</v>
      </c>
      <c r="K3" s="327"/>
      <c r="L3" s="2"/>
      <c r="M3" s="330">
        <v>17</v>
      </c>
      <c r="N3" s="331"/>
    </row>
    <row r="4" spans="1:14" ht="11.25">
      <c r="A4" s="20"/>
      <c r="B4" s="2"/>
      <c r="C4" s="2"/>
      <c r="D4" s="2"/>
      <c r="E4" s="2"/>
      <c r="F4" s="16" t="s">
        <v>15</v>
      </c>
      <c r="G4" s="330" t="s">
        <v>80</v>
      </c>
      <c r="H4" s="327"/>
      <c r="I4" s="2"/>
      <c r="J4" s="330" t="s">
        <v>81</v>
      </c>
      <c r="K4" s="327"/>
      <c r="L4" s="2"/>
      <c r="M4" s="330" t="s">
        <v>82</v>
      </c>
      <c r="N4" s="331"/>
    </row>
    <row r="5" spans="1:14" ht="11.25">
      <c r="A5" s="20"/>
      <c r="B5" s="2"/>
      <c r="C5" s="2"/>
      <c r="D5" s="2"/>
      <c r="E5" s="2"/>
      <c r="F5" s="16" t="s">
        <v>16</v>
      </c>
      <c r="G5" s="321" t="s">
        <v>92</v>
      </c>
      <c r="H5" s="322"/>
      <c r="I5" s="2"/>
      <c r="J5" s="28"/>
      <c r="K5" s="28"/>
      <c r="L5" s="28"/>
      <c r="M5" s="28"/>
      <c r="N5" s="33"/>
    </row>
    <row r="6" spans="1:14" ht="11.25">
      <c r="A6" s="20"/>
      <c r="B6" s="2"/>
      <c r="C6" s="2"/>
      <c r="D6" s="2"/>
      <c r="E6" s="2"/>
      <c r="F6" s="16" t="s">
        <v>17</v>
      </c>
      <c r="G6" s="323" t="s">
        <v>565</v>
      </c>
      <c r="H6" s="323"/>
      <c r="I6" s="2"/>
      <c r="J6" s="28"/>
      <c r="K6" s="28"/>
      <c r="L6" s="28"/>
      <c r="M6" s="28"/>
      <c r="N6" s="33"/>
    </row>
    <row r="7" spans="1:14" ht="11.25">
      <c r="A7" s="20"/>
      <c r="B7" s="2"/>
      <c r="C7" s="2"/>
      <c r="D7" s="2"/>
      <c r="E7" s="2"/>
      <c r="F7" s="16" t="s">
        <v>33</v>
      </c>
      <c r="G7" s="324" t="s">
        <v>94</v>
      </c>
      <c r="H7" s="325"/>
      <c r="I7" s="2"/>
      <c r="J7" s="28"/>
      <c r="K7" s="28"/>
      <c r="L7" s="28"/>
      <c r="M7" s="28"/>
      <c r="N7" s="33"/>
    </row>
    <row r="8" spans="1:14" ht="11.25">
      <c r="A8" s="20"/>
      <c r="B8" s="2"/>
      <c r="C8" s="2"/>
      <c r="D8" s="2"/>
      <c r="E8" s="2"/>
      <c r="F8" s="16" t="s">
        <v>18</v>
      </c>
      <c r="G8" s="326">
        <v>43948</v>
      </c>
      <c r="H8" s="327"/>
      <c r="I8" s="2"/>
      <c r="J8" s="28"/>
      <c r="K8" s="28"/>
      <c r="L8" s="28"/>
      <c r="M8" s="28"/>
      <c r="N8" s="33"/>
    </row>
    <row r="9" spans="1:14" ht="12.75">
      <c r="A9" s="21" t="s">
        <v>2</v>
      </c>
      <c r="B9" s="22"/>
      <c r="C9" s="4"/>
      <c r="D9" s="4"/>
      <c r="E9" s="3"/>
      <c r="F9" s="3"/>
      <c r="G9" s="319"/>
      <c r="H9" s="319"/>
      <c r="I9" s="3"/>
      <c r="J9" s="319"/>
      <c r="K9" s="319"/>
      <c r="L9" s="3"/>
      <c r="M9" s="319"/>
      <c r="N9" s="320"/>
    </row>
    <row r="10" spans="1:15" ht="12.75">
      <c r="A10" s="20"/>
      <c r="B10" s="22" t="s">
        <v>56</v>
      </c>
      <c r="C10" s="4"/>
      <c r="D10" s="4"/>
      <c r="E10" s="3"/>
      <c r="F10" s="29"/>
      <c r="G10" s="58"/>
      <c r="H10" s="58"/>
      <c r="I10" s="5"/>
      <c r="J10" s="58"/>
      <c r="K10" s="58"/>
      <c r="L10" s="5"/>
      <c r="M10" s="58"/>
      <c r="N10" s="59"/>
      <c r="O10" s="11"/>
    </row>
    <row r="11" spans="1:16" ht="11.25">
      <c r="A11" s="20"/>
      <c r="B11" s="22"/>
      <c r="C11" s="6"/>
      <c r="D11" s="6"/>
      <c r="E11" s="7"/>
      <c r="F11" s="30" t="s">
        <v>7</v>
      </c>
      <c r="G11" s="313">
        <v>8104</v>
      </c>
      <c r="H11" s="314"/>
      <c r="I11" s="5"/>
      <c r="J11" s="313">
        <v>8078</v>
      </c>
      <c r="K11" s="314"/>
      <c r="L11" s="5"/>
      <c r="M11" s="313">
        <v>7953</v>
      </c>
      <c r="N11" s="315"/>
      <c r="P11" s="10" t="s">
        <v>28</v>
      </c>
    </row>
    <row r="12" spans="1:16" ht="12.75">
      <c r="A12" s="20"/>
      <c r="B12" s="22"/>
      <c r="C12" s="4"/>
      <c r="D12" s="4"/>
      <c r="E12" s="3"/>
      <c r="F12" s="29" t="s">
        <v>5</v>
      </c>
      <c r="G12" s="316">
        <v>0.003</v>
      </c>
      <c r="H12" s="317"/>
      <c r="I12" s="5"/>
      <c r="J12" s="316">
        <v>0.016</v>
      </c>
      <c r="K12" s="317"/>
      <c r="L12" s="5"/>
      <c r="M12" s="316">
        <v>-0.024</v>
      </c>
      <c r="N12" s="318"/>
      <c r="O12" s="11"/>
      <c r="P12" s="10" t="s">
        <v>29</v>
      </c>
    </row>
    <row r="13" spans="1:16" ht="12.75">
      <c r="A13" s="20"/>
      <c r="B13" s="22"/>
      <c r="C13" s="4"/>
      <c r="D13" s="4"/>
      <c r="E13" s="3"/>
      <c r="F13" s="29" t="s">
        <v>53</v>
      </c>
      <c r="G13" s="313">
        <v>2</v>
      </c>
      <c r="H13" s="314"/>
      <c r="I13" s="5"/>
      <c r="J13" s="313">
        <v>2</v>
      </c>
      <c r="K13" s="314"/>
      <c r="L13" s="5"/>
      <c r="M13" s="313">
        <v>2</v>
      </c>
      <c r="N13" s="315"/>
      <c r="O13" s="11"/>
      <c r="P13" s="10" t="s">
        <v>71</v>
      </c>
    </row>
    <row r="14" spans="1:16" ht="12.75">
      <c r="A14" s="20"/>
      <c r="B14" s="22"/>
      <c r="C14" s="4"/>
      <c r="D14" s="4"/>
      <c r="E14" s="3"/>
      <c r="F14" s="29" t="s">
        <v>54</v>
      </c>
      <c r="G14" s="313">
        <f>153+176</f>
        <v>329</v>
      </c>
      <c r="H14" s="314"/>
      <c r="I14" s="5"/>
      <c r="J14" s="313">
        <f>155+126</f>
        <v>281</v>
      </c>
      <c r="K14" s="314"/>
      <c r="L14" s="5"/>
      <c r="M14" s="313">
        <f>163+151</f>
        <v>314</v>
      </c>
      <c r="N14" s="315"/>
      <c r="O14" s="11"/>
      <c r="P14" s="10" t="s">
        <v>70</v>
      </c>
    </row>
    <row r="15" spans="1:16" ht="12.75">
      <c r="A15" s="20"/>
      <c r="B15" s="22"/>
      <c r="C15" s="4"/>
      <c r="D15" s="4"/>
      <c r="E15" s="3"/>
      <c r="F15" s="29" t="s">
        <v>55</v>
      </c>
      <c r="G15" s="313">
        <f>36+36</f>
        <v>72</v>
      </c>
      <c r="H15" s="314"/>
      <c r="I15" s="5"/>
      <c r="J15" s="313">
        <f>38+42</f>
        <v>80</v>
      </c>
      <c r="K15" s="314"/>
      <c r="L15" s="5"/>
      <c r="M15" s="313">
        <f>40+41</f>
        <v>81</v>
      </c>
      <c r="N15" s="315"/>
      <c r="O15" s="11"/>
      <c r="P15" s="10" t="s">
        <v>69</v>
      </c>
    </row>
    <row r="16" spans="1:16" ht="12.75">
      <c r="A16" s="20"/>
      <c r="B16" s="22"/>
      <c r="C16" s="4"/>
      <c r="D16" s="4"/>
      <c r="E16" s="3"/>
      <c r="F16" s="29" t="s">
        <v>78</v>
      </c>
      <c r="G16" s="313">
        <v>160</v>
      </c>
      <c r="H16" s="314"/>
      <c r="I16" s="5"/>
      <c r="J16" s="313">
        <v>116</v>
      </c>
      <c r="K16" s="314"/>
      <c r="L16" s="5"/>
      <c r="M16" s="313">
        <v>140</v>
      </c>
      <c r="N16" s="315"/>
      <c r="O16" s="11"/>
      <c r="P16" s="10" t="s">
        <v>86</v>
      </c>
    </row>
    <row r="17" spans="1:15" ht="12.75">
      <c r="A17" s="20"/>
      <c r="B17" s="22" t="s">
        <v>57</v>
      </c>
      <c r="C17" s="4"/>
      <c r="D17" s="4"/>
      <c r="E17" s="3"/>
      <c r="F17" s="29"/>
      <c r="G17" s="58"/>
      <c r="H17" s="58"/>
      <c r="I17" s="5"/>
      <c r="J17" s="58"/>
      <c r="K17" s="58"/>
      <c r="L17" s="5"/>
      <c r="M17" s="58"/>
      <c r="N17" s="59"/>
      <c r="O17" s="11"/>
    </row>
    <row r="18" spans="1:16" ht="11.25">
      <c r="A18" s="20"/>
      <c r="B18" s="22"/>
      <c r="C18" s="6"/>
      <c r="D18" s="6"/>
      <c r="E18" s="7"/>
      <c r="F18" s="30" t="s">
        <v>7</v>
      </c>
      <c r="G18" s="313"/>
      <c r="H18" s="314"/>
      <c r="I18" s="5"/>
      <c r="J18" s="313"/>
      <c r="K18" s="314"/>
      <c r="L18" s="5"/>
      <c r="M18" s="313"/>
      <c r="N18" s="315"/>
      <c r="P18" s="10" t="s">
        <v>28</v>
      </c>
    </row>
    <row r="19" spans="1:16" ht="12.75">
      <c r="A19" s="20"/>
      <c r="B19" s="22"/>
      <c r="C19" s="4"/>
      <c r="D19" s="4"/>
      <c r="E19" s="3"/>
      <c r="F19" s="29" t="s">
        <v>5</v>
      </c>
      <c r="G19" s="316"/>
      <c r="H19" s="317"/>
      <c r="I19" s="5"/>
      <c r="J19" s="316"/>
      <c r="K19" s="317"/>
      <c r="L19" s="5"/>
      <c r="M19" s="316"/>
      <c r="N19" s="318"/>
      <c r="O19" s="11"/>
      <c r="P19" s="10" t="s">
        <v>29</v>
      </c>
    </row>
    <row r="20" spans="1:16" ht="12.75">
      <c r="A20" s="20"/>
      <c r="B20" s="22"/>
      <c r="C20" s="4"/>
      <c r="D20" s="4"/>
      <c r="E20" s="3"/>
      <c r="F20" s="29" t="s">
        <v>58</v>
      </c>
      <c r="G20" s="313"/>
      <c r="H20" s="314"/>
      <c r="I20" s="5"/>
      <c r="J20" s="313"/>
      <c r="K20" s="314"/>
      <c r="L20" s="5"/>
      <c r="M20" s="313"/>
      <c r="N20" s="315"/>
      <c r="O20" s="11"/>
      <c r="P20" s="10" t="s">
        <v>71</v>
      </c>
    </row>
    <row r="21" spans="1:16" ht="12.75">
      <c r="A21" s="20"/>
      <c r="B21" s="22"/>
      <c r="C21" s="4"/>
      <c r="D21" s="4"/>
      <c r="E21" s="3"/>
      <c r="F21" s="29" t="s">
        <v>59</v>
      </c>
      <c r="G21" s="313"/>
      <c r="H21" s="314"/>
      <c r="I21" s="5"/>
      <c r="J21" s="313"/>
      <c r="K21" s="314"/>
      <c r="L21" s="5"/>
      <c r="M21" s="313"/>
      <c r="N21" s="315"/>
      <c r="O21" s="11"/>
      <c r="P21" s="10" t="s">
        <v>83</v>
      </c>
    </row>
    <row r="22" spans="1:16" ht="12.75">
      <c r="A22" s="20"/>
      <c r="B22" s="22"/>
      <c r="C22" s="4"/>
      <c r="D22" s="4"/>
      <c r="E22" s="3"/>
      <c r="F22" s="29" t="s">
        <v>78</v>
      </c>
      <c r="G22" s="313"/>
      <c r="H22" s="314"/>
      <c r="I22" s="5"/>
      <c r="J22" s="313"/>
      <c r="K22" s="314"/>
      <c r="L22" s="5"/>
      <c r="M22" s="313"/>
      <c r="N22" s="315"/>
      <c r="O22" s="11"/>
      <c r="P22" s="10" t="s">
        <v>86</v>
      </c>
    </row>
    <row r="23" spans="1:14" ht="11.25">
      <c r="A23" s="20"/>
      <c r="B23" s="4" t="s">
        <v>6</v>
      </c>
      <c r="C23" s="4"/>
      <c r="D23" s="4"/>
      <c r="E23" s="3"/>
      <c r="F23" s="3"/>
      <c r="G23" s="23"/>
      <c r="H23" s="23"/>
      <c r="I23" s="5"/>
      <c r="J23" s="23"/>
      <c r="K23" s="23"/>
      <c r="L23" s="5"/>
      <c r="M23" s="23"/>
      <c r="N23" s="24"/>
    </row>
    <row r="24" spans="1:16" ht="11.25">
      <c r="A24" s="20"/>
      <c r="B24" s="22"/>
      <c r="C24" s="4"/>
      <c r="D24" s="4"/>
      <c r="E24" s="3"/>
      <c r="F24" s="29" t="s">
        <v>20</v>
      </c>
      <c r="G24" s="293">
        <v>0.023</v>
      </c>
      <c r="H24" s="294"/>
      <c r="I24" s="3"/>
      <c r="J24" s="293">
        <v>0.016</v>
      </c>
      <c r="K24" s="294"/>
      <c r="L24" s="3"/>
      <c r="M24" s="293">
        <v>0.019</v>
      </c>
      <c r="N24" s="295"/>
      <c r="P24" s="10" t="s">
        <v>30</v>
      </c>
    </row>
    <row r="25" spans="1:16" ht="11.25">
      <c r="A25" s="20"/>
      <c r="B25" s="22"/>
      <c r="C25" s="4"/>
      <c r="D25" s="4"/>
      <c r="E25" s="3"/>
      <c r="F25" s="29" t="s">
        <v>21</v>
      </c>
      <c r="G25" s="293">
        <v>0.977</v>
      </c>
      <c r="H25" s="294"/>
      <c r="I25" s="3"/>
      <c r="J25" s="293">
        <v>0.984</v>
      </c>
      <c r="K25" s="294"/>
      <c r="L25" s="3"/>
      <c r="M25" s="293">
        <v>0.981</v>
      </c>
      <c r="N25" s="295"/>
      <c r="P25" s="10" t="s">
        <v>31</v>
      </c>
    </row>
    <row r="26" spans="1:14" ht="11.25">
      <c r="A26" s="62" t="s">
        <v>60</v>
      </c>
      <c r="B26" s="22"/>
      <c r="C26" s="4"/>
      <c r="D26" s="4"/>
      <c r="E26" s="3"/>
      <c r="F26" s="29"/>
      <c r="G26" s="60"/>
      <c r="H26" s="60"/>
      <c r="I26" s="5"/>
      <c r="J26" s="60"/>
      <c r="K26" s="60"/>
      <c r="L26" s="5"/>
      <c r="M26" s="60"/>
      <c r="N26" s="61"/>
    </row>
    <row r="27" spans="1:16" ht="11.25">
      <c r="A27" s="20"/>
      <c r="B27" s="22"/>
      <c r="C27" s="4"/>
      <c r="D27" s="4"/>
      <c r="E27" s="3"/>
      <c r="F27" s="29" t="s">
        <v>61</v>
      </c>
      <c r="G27" s="313">
        <f>883663.92+31313.02</f>
        <v>914976.9400000001</v>
      </c>
      <c r="H27" s="314"/>
      <c r="I27" s="5"/>
      <c r="J27" s="313">
        <f>927941.22+1500+20800</f>
        <v>950241.22</v>
      </c>
      <c r="K27" s="314"/>
      <c r="L27" s="5"/>
      <c r="M27" s="313">
        <v>952052.22</v>
      </c>
      <c r="N27" s="315"/>
      <c r="P27" s="10" t="s">
        <v>91</v>
      </c>
    </row>
    <row r="28" spans="1:16" ht="11.25">
      <c r="A28" s="20"/>
      <c r="B28" s="22"/>
      <c r="C28" s="4"/>
      <c r="D28" s="4"/>
      <c r="E28" s="3"/>
      <c r="F28" s="29" t="s">
        <v>62</v>
      </c>
      <c r="G28" s="313">
        <v>17525.99</v>
      </c>
      <c r="H28" s="314"/>
      <c r="I28" s="5"/>
      <c r="J28" s="313">
        <f>9789.55+98.23+329.93+146.63</f>
        <v>10364.339999999998</v>
      </c>
      <c r="K28" s="314"/>
      <c r="L28" s="5"/>
      <c r="M28" s="313">
        <f>4515.88+28.75</f>
        <v>4544.63</v>
      </c>
      <c r="N28" s="315"/>
      <c r="P28" s="10" t="s">
        <v>91</v>
      </c>
    </row>
    <row r="29" spans="1:16" ht="11.25">
      <c r="A29" s="20"/>
      <c r="B29" s="22"/>
      <c r="C29" s="4"/>
      <c r="D29" s="4"/>
      <c r="E29" s="3"/>
      <c r="F29" s="29" t="s">
        <v>63</v>
      </c>
      <c r="G29" s="310">
        <v>239703.23</v>
      </c>
      <c r="H29" s="311"/>
      <c r="I29" s="5"/>
      <c r="J29" s="310">
        <v>245310.41</v>
      </c>
      <c r="K29" s="311"/>
      <c r="L29" s="5"/>
      <c r="M29" s="310">
        <v>212317.95</v>
      </c>
      <c r="N29" s="312"/>
      <c r="P29" s="10" t="s">
        <v>90</v>
      </c>
    </row>
    <row r="30" spans="1:14" ht="11.25">
      <c r="A30" s="20"/>
      <c r="B30" s="22"/>
      <c r="C30" s="4"/>
      <c r="D30" s="4"/>
      <c r="E30" s="3"/>
      <c r="F30" s="29"/>
      <c r="G30" s="73"/>
      <c r="H30" s="74"/>
      <c r="I30" s="5"/>
      <c r="J30" s="73"/>
      <c r="K30" s="74"/>
      <c r="L30" s="5"/>
      <c r="M30" s="73"/>
      <c r="N30" s="75"/>
    </row>
    <row r="31" spans="1:18" ht="11.25">
      <c r="A31" s="20"/>
      <c r="B31" s="4"/>
      <c r="C31" s="4"/>
      <c r="D31" s="4"/>
      <c r="E31" s="3"/>
      <c r="F31" s="63" t="s">
        <v>64</v>
      </c>
      <c r="G31" s="299">
        <f>SUM(G27:H29)/(G11+G18)</f>
        <v>144.64538005923004</v>
      </c>
      <c r="H31" s="300"/>
      <c r="I31" s="22"/>
      <c r="J31" s="299">
        <f>SUM(J27:K29)/(J11+J18)</f>
        <v>149.2839774696707</v>
      </c>
      <c r="K31" s="300"/>
      <c r="L31" s="22"/>
      <c r="M31" s="299">
        <f>SUM(M27:N29)/(M11+M18)</f>
        <v>146.97784483842577</v>
      </c>
      <c r="N31" s="301"/>
      <c r="O31"/>
      <c r="P31" t="s">
        <v>32</v>
      </c>
      <c r="Q31"/>
      <c r="R31"/>
    </row>
    <row r="32" spans="1:14" ht="11.25">
      <c r="A32" s="21" t="s">
        <v>3</v>
      </c>
      <c r="B32" s="22"/>
      <c r="C32" s="4"/>
      <c r="D32" s="4"/>
      <c r="E32" s="3"/>
      <c r="F32" s="3"/>
      <c r="G32" s="8"/>
      <c r="H32" s="8"/>
      <c r="I32" s="3"/>
      <c r="J32" s="8"/>
      <c r="K32" s="8"/>
      <c r="L32" s="3"/>
      <c r="M32" s="8"/>
      <c r="N32" s="25"/>
    </row>
    <row r="33" spans="1:22" ht="11.25">
      <c r="A33" s="20"/>
      <c r="B33" s="22"/>
      <c r="C33" s="4"/>
      <c r="D33" s="48"/>
      <c r="E33" s="49"/>
      <c r="F33" s="50" t="s">
        <v>43</v>
      </c>
      <c r="G33" s="302">
        <v>3.3</v>
      </c>
      <c r="H33" s="303"/>
      <c r="I33" s="56"/>
      <c r="J33" s="302">
        <v>3.6</v>
      </c>
      <c r="K33" s="303"/>
      <c r="L33" s="56"/>
      <c r="M33" s="302">
        <v>3.7</v>
      </c>
      <c r="N33" s="304"/>
      <c r="O33"/>
      <c r="P33" s="46" t="s">
        <v>47</v>
      </c>
      <c r="Q33" s="47"/>
      <c r="R33" s="47"/>
      <c r="S33" s="46"/>
      <c r="T33" s="46"/>
      <c r="U33" s="46"/>
      <c r="V33" s="46"/>
    </row>
    <row r="34" spans="1:22" ht="11.25">
      <c r="A34" s="20"/>
      <c r="B34" s="22"/>
      <c r="C34" s="4"/>
      <c r="D34" s="48"/>
      <c r="E34" s="49"/>
      <c r="F34" s="50" t="s">
        <v>44</v>
      </c>
      <c r="G34" s="302">
        <v>1</v>
      </c>
      <c r="H34" s="303"/>
      <c r="I34" s="56"/>
      <c r="J34" s="302">
        <v>1</v>
      </c>
      <c r="K34" s="303"/>
      <c r="L34" s="56"/>
      <c r="M34" s="302">
        <v>1</v>
      </c>
      <c r="N34" s="304"/>
      <c r="O34"/>
      <c r="P34" s="46" t="s">
        <v>48</v>
      </c>
      <c r="Q34" s="47"/>
      <c r="R34" s="47"/>
      <c r="S34" s="46"/>
      <c r="T34" s="46"/>
      <c r="U34" s="46"/>
      <c r="V34" s="46"/>
    </row>
    <row r="35" spans="1:22" ht="11.25">
      <c r="A35" s="20"/>
      <c r="B35" s="22"/>
      <c r="C35" s="4"/>
      <c r="D35" s="48"/>
      <c r="E35" s="49"/>
      <c r="F35" s="50" t="s">
        <v>45</v>
      </c>
      <c r="G35" s="307">
        <v>1</v>
      </c>
      <c r="H35" s="308"/>
      <c r="I35" s="56"/>
      <c r="J35" s="307">
        <v>1</v>
      </c>
      <c r="K35" s="308"/>
      <c r="L35" s="56"/>
      <c r="M35" s="307">
        <v>0.9</v>
      </c>
      <c r="N35" s="309"/>
      <c r="O35"/>
      <c r="P35" s="46" t="s">
        <v>50</v>
      </c>
      <c r="Q35" s="47"/>
      <c r="R35" s="47"/>
      <c r="S35" s="46"/>
      <c r="T35" s="46"/>
      <c r="U35" s="46"/>
      <c r="V35" s="46"/>
    </row>
    <row r="36" spans="1:22" ht="11.25">
      <c r="A36" s="20"/>
      <c r="B36" s="22"/>
      <c r="C36" s="4"/>
      <c r="D36" s="48"/>
      <c r="E36" s="49"/>
      <c r="F36" s="50" t="s">
        <v>46</v>
      </c>
      <c r="G36" s="305"/>
      <c r="H36" s="305"/>
      <c r="I36" s="56"/>
      <c r="J36" s="305"/>
      <c r="K36" s="305"/>
      <c r="L36" s="56"/>
      <c r="M36" s="305"/>
      <c r="N36" s="306"/>
      <c r="O36"/>
      <c r="P36" s="46" t="s">
        <v>49</v>
      </c>
      <c r="Q36" s="47"/>
      <c r="R36" s="47"/>
      <c r="S36" s="46"/>
      <c r="T36" s="46"/>
      <c r="U36" s="46"/>
      <c r="V36" s="46"/>
    </row>
    <row r="37" spans="1:18" s="69" customFormat="1" ht="11.25">
      <c r="A37" s="64"/>
      <c r="B37" s="65"/>
      <c r="C37" s="66"/>
      <c r="D37" s="66"/>
      <c r="E37" s="5"/>
      <c r="F37" s="67"/>
      <c r="G37" s="70"/>
      <c r="H37" s="70"/>
      <c r="I37" s="68"/>
      <c r="J37" s="70"/>
      <c r="K37" s="70"/>
      <c r="L37" s="68"/>
      <c r="M37" s="70"/>
      <c r="N37" s="71"/>
      <c r="O37" s="12"/>
      <c r="Q37" s="12"/>
      <c r="R37" s="12"/>
    </row>
    <row r="38" spans="1:22" ht="11.25">
      <c r="A38" s="20"/>
      <c r="B38" s="22"/>
      <c r="C38" s="4"/>
      <c r="D38" s="48"/>
      <c r="E38" s="49"/>
      <c r="F38" s="50" t="s">
        <v>66</v>
      </c>
      <c r="G38" s="302">
        <f>3472+1568</f>
        <v>5040</v>
      </c>
      <c r="H38" s="303"/>
      <c r="I38" s="56"/>
      <c r="J38" s="305">
        <f>3338+1644</f>
        <v>4982</v>
      </c>
      <c r="K38" s="305"/>
      <c r="L38" s="56"/>
      <c r="M38" s="305">
        <f>3956+1465</f>
        <v>5421</v>
      </c>
      <c r="N38" s="306"/>
      <c r="O38"/>
      <c r="P38" s="46" t="s">
        <v>72</v>
      </c>
      <c r="Q38" s="47"/>
      <c r="R38" s="47"/>
      <c r="S38" s="46"/>
      <c r="T38" s="46"/>
      <c r="U38" s="46"/>
      <c r="V38" s="46"/>
    </row>
    <row r="39" spans="1:22" ht="11.25">
      <c r="A39" s="20"/>
      <c r="B39" s="22"/>
      <c r="C39" s="4"/>
      <c r="D39" s="48"/>
      <c r="E39" s="49"/>
      <c r="F39" s="50" t="s">
        <v>65</v>
      </c>
      <c r="G39" s="302">
        <v>1324</v>
      </c>
      <c r="H39" s="303"/>
      <c r="I39" s="56"/>
      <c r="J39" s="299">
        <v>1282</v>
      </c>
      <c r="K39" s="300"/>
      <c r="L39" s="56"/>
      <c r="M39" s="299">
        <v>938</v>
      </c>
      <c r="N39" s="301"/>
      <c r="O39"/>
      <c r="P39" s="46" t="s">
        <v>73</v>
      </c>
      <c r="Q39" s="47"/>
      <c r="R39" s="47"/>
      <c r="S39" s="46"/>
      <c r="T39" s="46"/>
      <c r="U39" s="46"/>
      <c r="V39" s="46"/>
    </row>
    <row r="40" spans="1:22" ht="11.25">
      <c r="A40" s="20"/>
      <c r="B40" s="22"/>
      <c r="C40" s="4"/>
      <c r="D40" s="48"/>
      <c r="E40" s="49"/>
      <c r="F40" s="50" t="s">
        <v>67</v>
      </c>
      <c r="G40" s="307">
        <v>1740</v>
      </c>
      <c r="H40" s="308"/>
      <c r="I40" s="56"/>
      <c r="J40" s="302">
        <v>1828</v>
      </c>
      <c r="K40" s="303"/>
      <c r="L40" s="56"/>
      <c r="M40" s="302">
        <v>1594</v>
      </c>
      <c r="N40" s="304"/>
      <c r="O40"/>
      <c r="P40" s="46" t="s">
        <v>75</v>
      </c>
      <c r="Q40" s="47"/>
      <c r="R40" s="47"/>
      <c r="S40" s="46"/>
      <c r="T40" s="46"/>
      <c r="U40" s="46"/>
      <c r="V40" s="46"/>
    </row>
    <row r="41" spans="1:22" ht="11.25">
      <c r="A41" s="20"/>
      <c r="B41" s="22"/>
      <c r="C41" s="4"/>
      <c r="D41" s="48"/>
      <c r="E41" s="49"/>
      <c r="F41" s="50" t="s">
        <v>68</v>
      </c>
      <c r="G41" s="302"/>
      <c r="H41" s="303"/>
      <c r="I41" s="56"/>
      <c r="J41" s="302"/>
      <c r="K41" s="303"/>
      <c r="L41" s="56"/>
      <c r="M41" s="302"/>
      <c r="N41" s="304"/>
      <c r="O41"/>
      <c r="P41" s="46" t="s">
        <v>74</v>
      </c>
      <c r="Q41" s="47"/>
      <c r="R41" s="47"/>
      <c r="S41" s="46"/>
      <c r="T41" s="46"/>
      <c r="U41" s="46"/>
      <c r="V41" s="46"/>
    </row>
    <row r="42" spans="1:18" ht="11.25">
      <c r="A42" s="20"/>
      <c r="B42" s="4"/>
      <c r="C42" s="4"/>
      <c r="D42" s="4"/>
      <c r="E42" s="3"/>
      <c r="F42" s="3"/>
      <c r="G42" s="9"/>
      <c r="H42" s="9"/>
      <c r="I42" s="22"/>
      <c r="J42" s="9"/>
      <c r="K42" s="9"/>
      <c r="L42" s="22"/>
      <c r="M42" s="9"/>
      <c r="N42" s="26"/>
      <c r="O42"/>
      <c r="P42"/>
      <c r="Q42"/>
      <c r="R42"/>
    </row>
    <row r="43" spans="1:18" ht="11.25">
      <c r="A43" s="20"/>
      <c r="B43" s="22"/>
      <c r="C43" s="4"/>
      <c r="D43" s="4"/>
      <c r="E43" s="3"/>
      <c r="F43" s="29" t="s">
        <v>22</v>
      </c>
      <c r="G43" s="302">
        <f>(G11+G18)/(G33+G34)</f>
        <v>1884.6511627906978</v>
      </c>
      <c r="H43" s="303"/>
      <c r="I43" s="22"/>
      <c r="J43" s="302">
        <f>(J11+J18)/(J33+J34)</f>
        <v>1756.0869565217392</v>
      </c>
      <c r="K43" s="303"/>
      <c r="L43" s="22"/>
      <c r="M43" s="302">
        <f>(M11+M18)/(M33+M34)</f>
        <v>1692.127659574468</v>
      </c>
      <c r="N43" s="304"/>
      <c r="O43"/>
      <c r="P43" t="s">
        <v>32</v>
      </c>
      <c r="Q43"/>
      <c r="R43"/>
    </row>
    <row r="44" spans="1:17" ht="11.25">
      <c r="A44" s="20"/>
      <c r="B44" s="4"/>
      <c r="C44" s="4"/>
      <c r="D44" s="4"/>
      <c r="E44" s="3"/>
      <c r="F44" s="3"/>
      <c r="G44" s="34" t="s">
        <v>24</v>
      </c>
      <c r="H44" s="34" t="s">
        <v>23</v>
      </c>
      <c r="I44" s="28"/>
      <c r="J44" s="34" t="s">
        <v>24</v>
      </c>
      <c r="K44" s="34" t="s">
        <v>23</v>
      </c>
      <c r="L44" s="28"/>
      <c r="M44" s="34" t="s">
        <v>24</v>
      </c>
      <c r="N44" s="35" t="s">
        <v>23</v>
      </c>
      <c r="O44" s="14"/>
      <c r="P44" s="13"/>
      <c r="Q44" s="31"/>
    </row>
    <row r="45" spans="1:22" ht="11.25">
      <c r="A45" s="20"/>
      <c r="B45" s="4"/>
      <c r="C45" s="4"/>
      <c r="D45" s="52"/>
      <c r="E45" s="53"/>
      <c r="F45" s="54" t="s">
        <v>25</v>
      </c>
      <c r="G45" s="125">
        <v>7</v>
      </c>
      <c r="H45" s="32">
        <f>G45/SUM($G$45:$G$48)</f>
        <v>0.875</v>
      </c>
      <c r="I45" s="28"/>
      <c r="J45" s="125">
        <v>6.5</v>
      </c>
      <c r="K45" s="32">
        <f>J45/SUM($J$45:$J$48)</f>
        <v>0.8666666666666667</v>
      </c>
      <c r="L45" s="28"/>
      <c r="M45" s="125">
        <v>8.5</v>
      </c>
      <c r="N45" s="36">
        <f>M45/SUM($M$45:$M$48)</f>
        <v>0.8947368421052632</v>
      </c>
      <c r="O45" s="14"/>
      <c r="P45" s="55" t="s">
        <v>84</v>
      </c>
      <c r="Q45" s="51"/>
      <c r="R45" s="55"/>
      <c r="S45" s="55"/>
      <c r="T45" s="55"/>
      <c r="U45" s="55"/>
      <c r="V45" s="55"/>
    </row>
    <row r="46" spans="1:22" ht="11.25">
      <c r="A46" s="20"/>
      <c r="B46" s="4"/>
      <c r="C46" s="4"/>
      <c r="D46" s="52"/>
      <c r="E46" s="53"/>
      <c r="F46" s="54" t="s">
        <v>13</v>
      </c>
      <c r="G46" s="125">
        <v>1</v>
      </c>
      <c r="H46" s="32">
        <f aca="true" t="shared" si="0" ref="H46:H48">G46/SUM($G$45:$G$48)</f>
        <v>0.125</v>
      </c>
      <c r="I46" s="28"/>
      <c r="J46" s="125">
        <v>1</v>
      </c>
      <c r="K46" s="32">
        <f aca="true" t="shared" si="1" ref="K46:K48">J46/SUM($J$45:$J$48)</f>
        <v>0.13333333333333333</v>
      </c>
      <c r="L46" s="28"/>
      <c r="M46" s="125">
        <v>1</v>
      </c>
      <c r="N46" s="36">
        <f aca="true" t="shared" si="2" ref="N46:N48">M46/SUM($M$45:$M$48)</f>
        <v>0.10526315789473684</v>
      </c>
      <c r="O46" s="14"/>
      <c r="P46" s="55" t="s">
        <v>84</v>
      </c>
      <c r="Q46" s="51"/>
      <c r="R46" s="55"/>
      <c r="S46" s="55"/>
      <c r="T46" s="55"/>
      <c r="U46" s="55"/>
      <c r="V46" s="55"/>
    </row>
    <row r="47" spans="1:22" ht="11.25">
      <c r="A47" s="20"/>
      <c r="B47" s="4"/>
      <c r="C47" s="4"/>
      <c r="D47" s="52"/>
      <c r="E47" s="53"/>
      <c r="F47" s="54" t="s">
        <v>51</v>
      </c>
      <c r="G47" s="125"/>
      <c r="H47" s="32">
        <f t="shared" si="0"/>
        <v>0</v>
      </c>
      <c r="I47" s="28"/>
      <c r="J47" s="125"/>
      <c r="K47" s="32">
        <f t="shared" si="1"/>
        <v>0</v>
      </c>
      <c r="L47" s="28"/>
      <c r="M47" s="125"/>
      <c r="N47" s="36">
        <f t="shared" si="2"/>
        <v>0</v>
      </c>
      <c r="O47" s="14"/>
      <c r="P47" s="55" t="s">
        <v>85</v>
      </c>
      <c r="Q47" s="51"/>
      <c r="R47" s="55"/>
      <c r="S47" s="55"/>
      <c r="T47" s="55"/>
      <c r="U47" s="55"/>
      <c r="V47" s="55"/>
    </row>
    <row r="48" spans="1:22" ht="11.25">
      <c r="A48" s="20"/>
      <c r="B48" s="4"/>
      <c r="C48" s="4"/>
      <c r="D48" s="52"/>
      <c r="E48" s="53"/>
      <c r="F48" s="54" t="s">
        <v>52</v>
      </c>
      <c r="G48" s="125"/>
      <c r="H48" s="32">
        <f t="shared" si="0"/>
        <v>0</v>
      </c>
      <c r="I48" s="28"/>
      <c r="J48" s="125"/>
      <c r="K48" s="32">
        <f t="shared" si="1"/>
        <v>0</v>
      </c>
      <c r="L48" s="28"/>
      <c r="M48" s="125"/>
      <c r="N48" s="36">
        <f t="shared" si="2"/>
        <v>0</v>
      </c>
      <c r="O48" s="14"/>
      <c r="P48" s="55" t="s">
        <v>85</v>
      </c>
      <c r="Q48" s="51"/>
      <c r="R48" s="55"/>
      <c r="S48" s="55"/>
      <c r="T48" s="55"/>
      <c r="U48" s="55"/>
      <c r="V48" s="55"/>
    </row>
    <row r="49" spans="1:14" ht="11.25">
      <c r="A49" s="21" t="s">
        <v>4</v>
      </c>
      <c r="B49" s="22"/>
      <c r="C49" s="4"/>
      <c r="D49" s="4"/>
      <c r="E49" s="3"/>
      <c r="F49" s="3"/>
      <c r="G49" s="8"/>
      <c r="H49" s="8"/>
      <c r="I49" s="3"/>
      <c r="J49" s="8"/>
      <c r="K49" s="8"/>
      <c r="L49" s="3"/>
      <c r="M49" s="8"/>
      <c r="N49" s="25"/>
    </row>
    <row r="50" spans="1:16" ht="11.25">
      <c r="A50" s="21"/>
      <c r="B50" s="22"/>
      <c r="C50" s="4"/>
      <c r="D50" s="4"/>
      <c r="E50" s="3"/>
      <c r="F50" s="63" t="s">
        <v>77</v>
      </c>
      <c r="G50" s="293">
        <v>0.94</v>
      </c>
      <c r="H50" s="294"/>
      <c r="I50" s="72"/>
      <c r="J50" s="293">
        <v>0.927</v>
      </c>
      <c r="K50" s="294"/>
      <c r="L50" s="72"/>
      <c r="M50" s="293">
        <v>0.943</v>
      </c>
      <c r="N50" s="295"/>
      <c r="P50" s="10" t="s">
        <v>87</v>
      </c>
    </row>
    <row r="51" spans="1:16" ht="11.25">
      <c r="A51" s="21"/>
      <c r="B51" s="22"/>
      <c r="C51" s="4"/>
      <c r="D51" s="4"/>
      <c r="E51" s="3"/>
      <c r="F51" s="63" t="s">
        <v>76</v>
      </c>
      <c r="G51" s="293">
        <v>0.138</v>
      </c>
      <c r="H51" s="294"/>
      <c r="I51" s="72"/>
      <c r="J51" s="293">
        <v>0.153</v>
      </c>
      <c r="K51" s="294"/>
      <c r="L51" s="72"/>
      <c r="M51" s="293">
        <v>0.11</v>
      </c>
      <c r="N51" s="295"/>
      <c r="P51" s="10" t="s">
        <v>79</v>
      </c>
    </row>
    <row r="52" spans="1:16" ht="11" customHeight="1">
      <c r="A52" s="20"/>
      <c r="B52" s="23"/>
      <c r="C52" s="4"/>
      <c r="D52" s="4"/>
      <c r="E52" s="3"/>
      <c r="F52" s="29" t="s">
        <v>10</v>
      </c>
      <c r="G52" s="296">
        <v>7</v>
      </c>
      <c r="H52" s="297"/>
      <c r="I52" s="3"/>
      <c r="J52" s="296">
        <v>6</v>
      </c>
      <c r="K52" s="297"/>
      <c r="L52" s="3"/>
      <c r="M52" s="296">
        <v>5</v>
      </c>
      <c r="N52" s="298"/>
      <c r="P52" s="10" t="s">
        <v>34</v>
      </c>
    </row>
    <row r="53" spans="1:16" ht="11.25">
      <c r="A53" s="20"/>
      <c r="B53" s="23"/>
      <c r="C53" s="4"/>
      <c r="D53" s="4"/>
      <c r="E53" s="3"/>
      <c r="F53" s="29" t="s">
        <v>8</v>
      </c>
      <c r="G53" s="296">
        <v>40</v>
      </c>
      <c r="H53" s="297"/>
      <c r="I53" s="14"/>
      <c r="J53" s="296">
        <v>38</v>
      </c>
      <c r="K53" s="297"/>
      <c r="L53" s="14"/>
      <c r="M53" s="296">
        <v>38</v>
      </c>
      <c r="N53" s="298"/>
      <c r="P53" s="10" t="s">
        <v>36</v>
      </c>
    </row>
    <row r="54" spans="1:16" ht="11.25">
      <c r="A54" s="20"/>
      <c r="B54" s="23"/>
      <c r="C54" s="4"/>
      <c r="D54" s="4"/>
      <c r="E54" s="3"/>
      <c r="F54" s="42" t="s">
        <v>11</v>
      </c>
      <c r="G54" s="296">
        <v>25.4</v>
      </c>
      <c r="H54" s="297"/>
      <c r="I54" s="14"/>
      <c r="J54" s="296">
        <v>26</v>
      </c>
      <c r="K54" s="297"/>
      <c r="L54" s="14"/>
      <c r="M54" s="296">
        <v>27.4</v>
      </c>
      <c r="N54" s="298"/>
      <c r="P54" s="10" t="s">
        <v>42</v>
      </c>
    </row>
    <row r="55" spans="1:19" ht="11.25">
      <c r="A55" s="20"/>
      <c r="B55" s="22"/>
      <c r="C55" s="4"/>
      <c r="D55" s="4"/>
      <c r="E55" s="3"/>
      <c r="F55" s="29" t="s">
        <v>9</v>
      </c>
      <c r="G55" s="293">
        <v>0.92</v>
      </c>
      <c r="H55" s="294"/>
      <c r="I55" s="3"/>
      <c r="J55" s="293">
        <v>0.93</v>
      </c>
      <c r="K55" s="294"/>
      <c r="L55" s="3"/>
      <c r="M55" s="293">
        <v>0.82</v>
      </c>
      <c r="N55" s="295"/>
      <c r="P55" s="10" t="s">
        <v>37</v>
      </c>
      <c r="Q55"/>
      <c r="R55"/>
      <c r="S55"/>
    </row>
    <row r="56" spans="1:19" ht="11.25">
      <c r="A56" s="20"/>
      <c r="B56" s="22"/>
      <c r="C56" s="4"/>
      <c r="D56" s="4"/>
      <c r="E56" s="27"/>
      <c r="F56" s="29" t="s">
        <v>12</v>
      </c>
      <c r="G56" s="296">
        <v>1</v>
      </c>
      <c r="H56" s="297"/>
      <c r="I56" s="28"/>
      <c r="J56" s="296">
        <v>0</v>
      </c>
      <c r="K56" s="297"/>
      <c r="L56" s="28"/>
      <c r="M56" s="296">
        <v>1</v>
      </c>
      <c r="N56" s="298"/>
      <c r="P56" s="10" t="s">
        <v>38</v>
      </c>
      <c r="Q56"/>
      <c r="R56"/>
      <c r="S56"/>
    </row>
    <row r="57" spans="1:19" ht="11.25">
      <c r="A57" s="20"/>
      <c r="B57" s="22"/>
      <c r="C57" s="4"/>
      <c r="D57" s="4"/>
      <c r="E57" s="3"/>
      <c r="F57" s="29" t="s">
        <v>19</v>
      </c>
      <c r="G57" s="293">
        <v>0.019</v>
      </c>
      <c r="H57" s="294"/>
      <c r="I57" s="28"/>
      <c r="J57" s="293">
        <v>0</v>
      </c>
      <c r="K57" s="294"/>
      <c r="L57" s="28"/>
      <c r="M57" s="293">
        <v>0.038</v>
      </c>
      <c r="N57" s="295"/>
      <c r="P57" s="10" t="s">
        <v>39</v>
      </c>
      <c r="Q57"/>
      <c r="R57"/>
      <c r="S57"/>
    </row>
    <row r="58" spans="1:19" ht="11.25">
      <c r="A58" s="20"/>
      <c r="B58" s="22"/>
      <c r="C58" s="4"/>
      <c r="D58" s="4"/>
      <c r="E58" s="3"/>
      <c r="F58" s="29" t="s">
        <v>0</v>
      </c>
      <c r="G58" s="293">
        <v>0</v>
      </c>
      <c r="H58" s="294"/>
      <c r="I58" s="28"/>
      <c r="J58" s="293">
        <v>-0.025</v>
      </c>
      <c r="K58" s="294"/>
      <c r="L58" s="28"/>
      <c r="M58" s="293">
        <v>0.026</v>
      </c>
      <c r="N58" s="295"/>
      <c r="P58" s="10" t="s">
        <v>40</v>
      </c>
      <c r="Q58"/>
      <c r="R58"/>
      <c r="S58"/>
    </row>
    <row r="59" spans="1:14" ht="11.25">
      <c r="A59" s="21" t="s">
        <v>1</v>
      </c>
      <c r="B59" s="28"/>
      <c r="C59" s="28"/>
      <c r="D59" s="28"/>
      <c r="E59" s="28"/>
      <c r="F59" s="28"/>
      <c r="G59" s="28"/>
      <c r="H59" s="28"/>
      <c r="I59" s="28"/>
      <c r="J59" s="28"/>
      <c r="K59" s="28"/>
      <c r="L59" s="28"/>
      <c r="M59" s="28"/>
      <c r="N59" s="33"/>
    </row>
    <row r="60" spans="1:16" ht="11.25">
      <c r="A60" s="37"/>
      <c r="B60" s="28"/>
      <c r="C60" s="28"/>
      <c r="D60" s="28"/>
      <c r="E60" s="28"/>
      <c r="F60" s="28"/>
      <c r="G60" s="28"/>
      <c r="H60" s="28"/>
      <c r="I60" s="28"/>
      <c r="J60" s="28"/>
      <c r="K60" s="28"/>
      <c r="L60" s="28"/>
      <c r="M60" s="28"/>
      <c r="N60" s="33"/>
      <c r="P60" t="s">
        <v>35</v>
      </c>
    </row>
    <row r="61" spans="1:14" ht="11.25">
      <c r="A61" s="38"/>
      <c r="B61" s="23"/>
      <c r="C61" s="23"/>
      <c r="D61" s="23"/>
      <c r="E61" s="23"/>
      <c r="F61" s="23"/>
      <c r="G61" s="23"/>
      <c r="H61" s="23"/>
      <c r="I61" s="23"/>
      <c r="J61" s="23"/>
      <c r="K61" s="23"/>
      <c r="L61" s="23"/>
      <c r="M61" s="23"/>
      <c r="N61" s="24"/>
    </row>
    <row r="62" spans="1:14" ht="11.25">
      <c r="A62" s="38"/>
      <c r="B62" s="23"/>
      <c r="C62" s="23"/>
      <c r="D62" s="23"/>
      <c r="E62" s="23"/>
      <c r="F62" s="23"/>
      <c r="G62" s="23"/>
      <c r="H62" s="23"/>
      <c r="I62" s="23"/>
      <c r="J62" s="23"/>
      <c r="K62" s="23"/>
      <c r="L62" s="23"/>
      <c r="M62" s="23"/>
      <c r="N62" s="24"/>
    </row>
    <row r="63" spans="1:16" ht="11.25">
      <c r="A63" s="38"/>
      <c r="B63" s="23"/>
      <c r="C63" s="23"/>
      <c r="D63" s="23"/>
      <c r="E63" s="23"/>
      <c r="F63" s="23"/>
      <c r="G63" s="23"/>
      <c r="H63" s="23"/>
      <c r="I63" s="23"/>
      <c r="J63" s="23"/>
      <c r="K63" s="23"/>
      <c r="L63" s="23"/>
      <c r="M63" s="23"/>
      <c r="N63" s="24"/>
      <c r="P63" s="44" t="s">
        <v>41</v>
      </c>
    </row>
    <row r="64" spans="1:14" ht="11.25">
      <c r="A64" s="38"/>
      <c r="B64" s="23"/>
      <c r="C64" s="23"/>
      <c r="D64" s="23"/>
      <c r="E64" s="23"/>
      <c r="F64" s="23"/>
      <c r="G64" s="23"/>
      <c r="H64" s="23"/>
      <c r="I64" s="23"/>
      <c r="J64" s="23"/>
      <c r="K64" s="23"/>
      <c r="L64" s="23"/>
      <c r="M64" s="23"/>
      <c r="N64" s="24"/>
    </row>
    <row r="65" spans="1:14" ht="12.75" thickBot="1">
      <c r="A65" s="39"/>
      <c r="B65" s="40"/>
      <c r="C65" s="40"/>
      <c r="D65" s="40"/>
      <c r="E65" s="40"/>
      <c r="F65" s="40"/>
      <c r="G65" s="40"/>
      <c r="H65" s="40"/>
      <c r="I65" s="40"/>
      <c r="J65" s="40"/>
      <c r="K65" s="40"/>
      <c r="L65" s="40"/>
      <c r="M65" s="40"/>
      <c r="N65" s="41"/>
    </row>
  </sheetData>
  <mergeCells count="119">
    <mergeCell ref="G5:H5"/>
    <mergeCell ref="G6:H6"/>
    <mergeCell ref="G7:H7"/>
    <mergeCell ref="G8:H8"/>
    <mergeCell ref="G9:H9"/>
    <mergeCell ref="J9:K9"/>
    <mergeCell ref="G2:N2"/>
    <mergeCell ref="G3:H3"/>
    <mergeCell ref="J3:K3"/>
    <mergeCell ref="M3:N3"/>
    <mergeCell ref="G4:H4"/>
    <mergeCell ref="J4:K4"/>
    <mergeCell ref="M4:N4"/>
    <mergeCell ref="G13:H13"/>
    <mergeCell ref="J13:K13"/>
    <mergeCell ref="M13:N13"/>
    <mergeCell ref="G14:H14"/>
    <mergeCell ref="J14:K14"/>
    <mergeCell ref="M14:N14"/>
    <mergeCell ref="M9:N9"/>
    <mergeCell ref="G11:H11"/>
    <mergeCell ref="J11:K11"/>
    <mergeCell ref="M11:N11"/>
    <mergeCell ref="G12:H12"/>
    <mergeCell ref="J12:K12"/>
    <mergeCell ref="M12:N12"/>
    <mergeCell ref="G18:H18"/>
    <mergeCell ref="J18:K18"/>
    <mergeCell ref="M18:N18"/>
    <mergeCell ref="G19:H19"/>
    <mergeCell ref="J19:K19"/>
    <mergeCell ref="M19:N19"/>
    <mergeCell ref="G15:H15"/>
    <mergeCell ref="J15:K15"/>
    <mergeCell ref="M15:N15"/>
    <mergeCell ref="G16:H16"/>
    <mergeCell ref="J16:K16"/>
    <mergeCell ref="M16:N16"/>
    <mergeCell ref="G22:H22"/>
    <mergeCell ref="J22:K22"/>
    <mergeCell ref="M22:N22"/>
    <mergeCell ref="G24:H24"/>
    <mergeCell ref="J24:K24"/>
    <mergeCell ref="M24:N24"/>
    <mergeCell ref="G20:H20"/>
    <mergeCell ref="J20:K20"/>
    <mergeCell ref="M20:N20"/>
    <mergeCell ref="G21:H21"/>
    <mergeCell ref="J21:K21"/>
    <mergeCell ref="M21:N21"/>
    <mergeCell ref="G28:H28"/>
    <mergeCell ref="J28:K28"/>
    <mergeCell ref="M28:N28"/>
    <mergeCell ref="G29:H29"/>
    <mergeCell ref="J29:K29"/>
    <mergeCell ref="M29:N29"/>
    <mergeCell ref="G25:H25"/>
    <mergeCell ref="J25:K25"/>
    <mergeCell ref="M25:N25"/>
    <mergeCell ref="G27:H27"/>
    <mergeCell ref="J27:K27"/>
    <mergeCell ref="M27:N27"/>
    <mergeCell ref="G34:H34"/>
    <mergeCell ref="J34:K34"/>
    <mergeCell ref="M34:N34"/>
    <mergeCell ref="G35:H35"/>
    <mergeCell ref="J35:K35"/>
    <mergeCell ref="M35:N35"/>
    <mergeCell ref="G31:H31"/>
    <mergeCell ref="J31:K31"/>
    <mergeCell ref="M31:N31"/>
    <mergeCell ref="G33:H33"/>
    <mergeCell ref="J33:K33"/>
    <mergeCell ref="M33:N33"/>
    <mergeCell ref="G39:H39"/>
    <mergeCell ref="J39:K39"/>
    <mergeCell ref="M39:N39"/>
    <mergeCell ref="G40:H40"/>
    <mergeCell ref="J40:K40"/>
    <mergeCell ref="M40:N40"/>
    <mergeCell ref="G36:H36"/>
    <mergeCell ref="J36:K36"/>
    <mergeCell ref="M36:N36"/>
    <mergeCell ref="G38:H38"/>
    <mergeCell ref="J38:K38"/>
    <mergeCell ref="M38:N38"/>
    <mergeCell ref="G50:H50"/>
    <mergeCell ref="J50:K50"/>
    <mergeCell ref="M50:N50"/>
    <mergeCell ref="G51:H51"/>
    <mergeCell ref="J51:K51"/>
    <mergeCell ref="M51:N51"/>
    <mergeCell ref="G41:H41"/>
    <mergeCell ref="J41:K41"/>
    <mergeCell ref="M41:N41"/>
    <mergeCell ref="G43:H43"/>
    <mergeCell ref="J43:K43"/>
    <mergeCell ref="M43:N43"/>
    <mergeCell ref="G54:H54"/>
    <mergeCell ref="J54:K54"/>
    <mergeCell ref="M54:N54"/>
    <mergeCell ref="G55:H55"/>
    <mergeCell ref="J55:K55"/>
    <mergeCell ref="M55:N55"/>
    <mergeCell ref="G52:H52"/>
    <mergeCell ref="J52:K52"/>
    <mergeCell ref="M52:N52"/>
    <mergeCell ref="G53:H53"/>
    <mergeCell ref="J53:K53"/>
    <mergeCell ref="M53:N53"/>
    <mergeCell ref="G58:H58"/>
    <mergeCell ref="J58:K58"/>
    <mergeCell ref="M58:N58"/>
    <mergeCell ref="G56:H56"/>
    <mergeCell ref="J56:K56"/>
    <mergeCell ref="M56:N56"/>
    <mergeCell ref="G57:H57"/>
    <mergeCell ref="J57:K57"/>
    <mergeCell ref="M57:N57"/>
  </mergeCells>
  <printOptions/>
  <pageMargins left="0.25" right="0.25" top="0.75" bottom="0.75" header="0.3" footer="0.3"/>
  <pageSetup fitToHeight="1" fitToWidth="1" horizontalDpi="1200" verticalDpi="1200" orientation="portrait" scale="94" r:id="rId3"/>
  <colBreaks count="1" manualBreakCount="1">
    <brk id="14" max="16383" man="1"/>
  </colBreaks>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V66"/>
  <sheetViews>
    <sheetView showGridLines="0" workbookViewId="0" topLeftCell="A11">
      <selection activeCell="M43" sqref="M43:N43"/>
    </sheetView>
  </sheetViews>
  <sheetFormatPr defaultColWidth="9.00390625" defaultRowHeight="11.25"/>
  <cols>
    <col min="1" max="1" width="4.625" style="1" customWidth="1"/>
    <col min="2" max="5" width="9.00390625" style="1" customWidth="1"/>
    <col min="6" max="6" width="7.125" style="1" customWidth="1"/>
    <col min="7" max="7" width="9.125" style="1" customWidth="1"/>
    <col min="8" max="8" width="11.375" style="1" customWidth="1"/>
    <col min="9" max="9" width="1.875" style="1" customWidth="1"/>
    <col min="10" max="11" width="9.125" style="1" customWidth="1"/>
    <col min="12" max="12" width="1.875" style="1" customWidth="1"/>
    <col min="13" max="14" width="9.125" style="1" customWidth="1"/>
    <col min="15" max="15" width="3.875" style="10" customWidth="1"/>
    <col min="16" max="16384" width="9.00390625" style="10" customWidth="1"/>
  </cols>
  <sheetData>
    <row r="1" spans="1:14" s="12" customFormat="1" ht="11.25">
      <c r="A1" s="17" t="s">
        <v>88</v>
      </c>
      <c r="B1" s="18"/>
      <c r="C1" s="18"/>
      <c r="D1" s="18"/>
      <c r="E1" s="18"/>
      <c r="F1" s="18"/>
      <c r="G1" s="18"/>
      <c r="H1" s="18"/>
      <c r="I1" s="18"/>
      <c r="J1" s="18"/>
      <c r="K1" s="18"/>
      <c r="L1" s="18"/>
      <c r="M1" s="18"/>
      <c r="N1" s="19"/>
    </row>
    <row r="2" spans="1:16" s="12" customFormat="1" ht="11.25">
      <c r="A2" s="20" t="s">
        <v>89</v>
      </c>
      <c r="B2" s="15"/>
      <c r="C2" s="15"/>
      <c r="D2" s="15"/>
      <c r="E2" s="15"/>
      <c r="F2" s="15"/>
      <c r="G2" s="328" t="s">
        <v>26</v>
      </c>
      <c r="H2" s="328"/>
      <c r="I2" s="328"/>
      <c r="J2" s="328"/>
      <c r="K2" s="328"/>
      <c r="L2" s="328"/>
      <c r="M2" s="328"/>
      <c r="N2" s="329"/>
      <c r="P2" s="43" t="s">
        <v>27</v>
      </c>
    </row>
    <row r="3" spans="1:14" ht="11.25">
      <c r="A3" s="45"/>
      <c r="B3" s="2"/>
      <c r="C3" s="2"/>
      <c r="D3" s="2"/>
      <c r="E3" s="2"/>
      <c r="F3" s="16" t="s">
        <v>14</v>
      </c>
      <c r="G3" s="330">
        <v>19</v>
      </c>
      <c r="H3" s="327"/>
      <c r="I3" s="2"/>
      <c r="J3" s="330">
        <v>18</v>
      </c>
      <c r="K3" s="327"/>
      <c r="L3" s="2"/>
      <c r="M3" s="330">
        <v>17</v>
      </c>
      <c r="N3" s="331"/>
    </row>
    <row r="4" spans="1:14" ht="11.25">
      <c r="A4" s="20"/>
      <c r="B4" s="2"/>
      <c r="C4" s="2"/>
      <c r="D4" s="2"/>
      <c r="E4" s="2"/>
      <c r="F4" s="16" t="s">
        <v>15</v>
      </c>
      <c r="G4" s="330" t="s">
        <v>80</v>
      </c>
      <c r="H4" s="327"/>
      <c r="I4" s="2"/>
      <c r="J4" s="330" t="s">
        <v>81</v>
      </c>
      <c r="K4" s="327"/>
      <c r="L4" s="2"/>
      <c r="M4" s="330" t="s">
        <v>82</v>
      </c>
      <c r="N4" s="331"/>
    </row>
    <row r="5" spans="1:14" ht="11.25">
      <c r="A5" s="20"/>
      <c r="B5" s="2"/>
      <c r="C5" s="2"/>
      <c r="D5" s="2"/>
      <c r="E5" s="2"/>
      <c r="F5" s="16" t="s">
        <v>16</v>
      </c>
      <c r="G5" s="321" t="s">
        <v>99</v>
      </c>
      <c r="H5" s="322"/>
      <c r="I5" s="2"/>
      <c r="J5" s="28"/>
      <c r="K5" s="28"/>
      <c r="L5" s="28"/>
      <c r="M5" s="28"/>
      <c r="N5" s="33"/>
    </row>
    <row r="6" spans="1:14" ht="11.25">
      <c r="A6" s="20"/>
      <c r="B6" s="2"/>
      <c r="C6" s="2"/>
      <c r="D6" s="2"/>
      <c r="E6" s="2"/>
      <c r="F6" s="16" t="s">
        <v>17</v>
      </c>
      <c r="G6" s="323" t="s">
        <v>123</v>
      </c>
      <c r="H6" s="323"/>
      <c r="I6" s="2"/>
      <c r="J6" s="28"/>
      <c r="K6" s="28"/>
      <c r="L6" s="28"/>
      <c r="M6" s="28"/>
      <c r="N6" s="33"/>
    </row>
    <row r="7" spans="1:14" ht="11.25">
      <c r="A7" s="20"/>
      <c r="B7" s="2"/>
      <c r="C7" s="2"/>
      <c r="D7" s="2"/>
      <c r="E7" s="2"/>
      <c r="F7" s="16" t="s">
        <v>33</v>
      </c>
      <c r="G7" s="324" t="s">
        <v>94</v>
      </c>
      <c r="H7" s="325"/>
      <c r="I7" s="2"/>
      <c r="J7" s="28"/>
      <c r="K7" s="28"/>
      <c r="L7" s="28"/>
      <c r="M7" s="28"/>
      <c r="N7" s="33"/>
    </row>
    <row r="8" spans="1:14" ht="11.25">
      <c r="A8" s="20"/>
      <c r="B8" s="2"/>
      <c r="C8" s="2"/>
      <c r="D8" s="2"/>
      <c r="E8" s="2"/>
      <c r="F8" s="16" t="s">
        <v>18</v>
      </c>
      <c r="G8" s="326">
        <v>43924</v>
      </c>
      <c r="H8" s="327"/>
      <c r="I8" s="2"/>
      <c r="J8" s="28"/>
      <c r="K8" s="28"/>
      <c r="L8" s="28"/>
      <c r="M8" s="28"/>
      <c r="N8" s="33"/>
    </row>
    <row r="9" spans="1:14" ht="12.75">
      <c r="A9" s="21" t="s">
        <v>2</v>
      </c>
      <c r="B9" s="22"/>
      <c r="C9" s="4"/>
      <c r="D9" s="4"/>
      <c r="E9" s="3"/>
      <c r="F9" s="3"/>
      <c r="G9" s="319"/>
      <c r="H9" s="319"/>
      <c r="I9" s="3"/>
      <c r="J9" s="319"/>
      <c r="K9" s="319"/>
      <c r="L9" s="3"/>
      <c r="M9" s="319"/>
      <c r="N9" s="320"/>
    </row>
    <row r="10" spans="1:15" ht="12.75">
      <c r="A10" s="20"/>
      <c r="B10" s="22" t="s">
        <v>56</v>
      </c>
      <c r="C10" s="4"/>
      <c r="D10" s="4"/>
      <c r="E10" s="3"/>
      <c r="F10" s="29"/>
      <c r="G10" s="58"/>
      <c r="H10" s="58"/>
      <c r="I10" s="5"/>
      <c r="J10" s="58"/>
      <c r="K10" s="58"/>
      <c r="L10" s="5"/>
      <c r="M10" s="58"/>
      <c r="N10" s="59"/>
      <c r="O10" s="11"/>
    </row>
    <row r="11" spans="1:16" ht="11.25">
      <c r="A11" s="20"/>
      <c r="B11" s="22"/>
      <c r="C11" s="6"/>
      <c r="D11" s="6"/>
      <c r="E11" s="7"/>
      <c r="F11" s="30" t="s">
        <v>7</v>
      </c>
      <c r="G11" s="313">
        <v>4714</v>
      </c>
      <c r="H11" s="314"/>
      <c r="I11" s="5"/>
      <c r="J11" s="313">
        <v>4571</v>
      </c>
      <c r="K11" s="314"/>
      <c r="L11" s="5"/>
      <c r="M11" s="313">
        <v>4363</v>
      </c>
      <c r="N11" s="315"/>
      <c r="P11" s="10" t="s">
        <v>28</v>
      </c>
    </row>
    <row r="12" spans="1:16" ht="12.75">
      <c r="A12" s="20"/>
      <c r="B12" s="22"/>
      <c r="C12" s="4"/>
      <c r="D12" s="4"/>
      <c r="E12" s="3"/>
      <c r="F12" s="29" t="s">
        <v>5</v>
      </c>
      <c r="G12" s="316">
        <v>0.031</v>
      </c>
      <c r="H12" s="317"/>
      <c r="I12" s="5"/>
      <c r="J12" s="316">
        <v>0.048</v>
      </c>
      <c r="K12" s="317"/>
      <c r="L12" s="5"/>
      <c r="M12" s="316">
        <v>0.172</v>
      </c>
      <c r="N12" s="318"/>
      <c r="O12" s="11"/>
      <c r="P12" s="10" t="s">
        <v>29</v>
      </c>
    </row>
    <row r="13" spans="1:16" ht="12.75">
      <c r="A13" s="20"/>
      <c r="B13" s="22"/>
      <c r="C13" s="4"/>
      <c r="D13" s="4"/>
      <c r="E13" s="3"/>
      <c r="F13" s="29" t="s">
        <v>53</v>
      </c>
      <c r="G13" s="313">
        <v>1</v>
      </c>
      <c r="H13" s="314"/>
      <c r="I13" s="5"/>
      <c r="J13" s="313">
        <v>1</v>
      </c>
      <c r="K13" s="314"/>
      <c r="L13" s="5"/>
      <c r="M13" s="313">
        <v>1</v>
      </c>
      <c r="N13" s="315"/>
      <c r="O13" s="11"/>
      <c r="P13" s="10" t="s">
        <v>71</v>
      </c>
    </row>
    <row r="14" spans="1:16" ht="12.75">
      <c r="A14" s="20"/>
      <c r="B14" s="22"/>
      <c r="C14" s="4"/>
      <c r="D14" s="4"/>
      <c r="E14" s="3"/>
      <c r="F14" s="29" t="s">
        <v>54</v>
      </c>
      <c r="G14" s="313">
        <v>52</v>
      </c>
      <c r="H14" s="314"/>
      <c r="I14" s="5"/>
      <c r="J14" s="313">
        <v>50</v>
      </c>
      <c r="K14" s="314"/>
      <c r="L14" s="5"/>
      <c r="M14" s="313">
        <v>41</v>
      </c>
      <c r="N14" s="315"/>
      <c r="O14" s="11"/>
      <c r="P14" s="10" t="s">
        <v>70</v>
      </c>
    </row>
    <row r="15" spans="1:16" ht="12.75">
      <c r="A15" s="20"/>
      <c r="B15" s="22"/>
      <c r="C15" s="4"/>
      <c r="D15" s="4"/>
      <c r="E15" s="3"/>
      <c r="F15" s="29" t="s">
        <v>55</v>
      </c>
      <c r="G15" s="313">
        <v>37</v>
      </c>
      <c r="H15" s="314"/>
      <c r="I15" s="5"/>
      <c r="J15" s="313">
        <v>43</v>
      </c>
      <c r="K15" s="314"/>
      <c r="L15" s="5"/>
      <c r="M15" s="313">
        <v>60</v>
      </c>
      <c r="N15" s="315"/>
      <c r="O15" s="11"/>
      <c r="P15" s="10" t="s">
        <v>69</v>
      </c>
    </row>
    <row r="16" spans="1:16" ht="12.75">
      <c r="A16" s="20"/>
      <c r="B16" s="22"/>
      <c r="C16" s="4"/>
      <c r="D16" s="4"/>
      <c r="E16" s="3"/>
      <c r="F16" s="29" t="s">
        <v>78</v>
      </c>
      <c r="G16" s="313">
        <v>21</v>
      </c>
      <c r="H16" s="314"/>
      <c r="I16" s="5"/>
      <c r="J16" s="313">
        <v>17</v>
      </c>
      <c r="K16" s="314"/>
      <c r="L16" s="5"/>
      <c r="M16" s="313">
        <v>11</v>
      </c>
      <c r="N16" s="315"/>
      <c r="O16" s="11"/>
      <c r="P16" s="10" t="s">
        <v>86</v>
      </c>
    </row>
    <row r="17" spans="1:15" ht="12.75">
      <c r="A17" s="20"/>
      <c r="B17" s="22" t="s">
        <v>57</v>
      </c>
      <c r="C17" s="4"/>
      <c r="D17" s="4"/>
      <c r="E17" s="3"/>
      <c r="F17" s="29"/>
      <c r="G17" s="58"/>
      <c r="H17" s="58"/>
      <c r="I17" s="5"/>
      <c r="J17" s="58"/>
      <c r="K17" s="58"/>
      <c r="L17" s="5"/>
      <c r="M17" s="58"/>
      <c r="N17" s="59"/>
      <c r="O17" s="11"/>
    </row>
    <row r="18" spans="1:16" ht="11.25">
      <c r="A18" s="20"/>
      <c r="B18" s="22"/>
      <c r="C18" s="6"/>
      <c r="D18" s="6"/>
      <c r="E18" s="7"/>
      <c r="F18" s="30" t="s">
        <v>7</v>
      </c>
      <c r="G18" s="313"/>
      <c r="H18" s="314"/>
      <c r="I18" s="5"/>
      <c r="J18" s="313"/>
      <c r="K18" s="314"/>
      <c r="L18" s="5"/>
      <c r="M18" s="313"/>
      <c r="N18" s="315"/>
      <c r="P18" s="10" t="s">
        <v>28</v>
      </c>
    </row>
    <row r="19" spans="1:16" ht="12.75">
      <c r="A19" s="20"/>
      <c r="B19" s="22"/>
      <c r="C19" s="4"/>
      <c r="D19" s="4"/>
      <c r="E19" s="3"/>
      <c r="F19" s="29" t="s">
        <v>5</v>
      </c>
      <c r="G19" s="316"/>
      <c r="H19" s="317"/>
      <c r="I19" s="5"/>
      <c r="J19" s="316"/>
      <c r="K19" s="317"/>
      <c r="L19" s="5"/>
      <c r="M19" s="316"/>
      <c r="N19" s="318"/>
      <c r="O19" s="11"/>
      <c r="P19" s="10" t="s">
        <v>29</v>
      </c>
    </row>
    <row r="20" spans="1:16" ht="12.75">
      <c r="A20" s="20"/>
      <c r="B20" s="22"/>
      <c r="C20" s="4"/>
      <c r="D20" s="4"/>
      <c r="E20" s="3"/>
      <c r="F20" s="29" t="s">
        <v>58</v>
      </c>
      <c r="G20" s="313"/>
      <c r="H20" s="314"/>
      <c r="I20" s="5"/>
      <c r="J20" s="313"/>
      <c r="K20" s="314"/>
      <c r="L20" s="5"/>
      <c r="M20" s="313"/>
      <c r="N20" s="315"/>
      <c r="O20" s="11"/>
      <c r="P20" s="10" t="s">
        <v>71</v>
      </c>
    </row>
    <row r="21" spans="1:16" ht="12.75">
      <c r="A21" s="20"/>
      <c r="B21" s="22"/>
      <c r="C21" s="4"/>
      <c r="D21" s="4"/>
      <c r="E21" s="3"/>
      <c r="F21" s="29" t="s">
        <v>59</v>
      </c>
      <c r="G21" s="313"/>
      <c r="H21" s="314"/>
      <c r="I21" s="5"/>
      <c r="J21" s="313"/>
      <c r="K21" s="314"/>
      <c r="L21" s="5"/>
      <c r="M21" s="313"/>
      <c r="N21" s="315"/>
      <c r="O21" s="11"/>
      <c r="P21" s="10" t="s">
        <v>83</v>
      </c>
    </row>
    <row r="22" spans="1:16" ht="12.75">
      <c r="A22" s="20"/>
      <c r="B22" s="22"/>
      <c r="C22" s="4"/>
      <c r="D22" s="4"/>
      <c r="E22" s="3"/>
      <c r="F22" s="29" t="s">
        <v>78</v>
      </c>
      <c r="G22" s="313"/>
      <c r="H22" s="314"/>
      <c r="I22" s="5"/>
      <c r="J22" s="313"/>
      <c r="K22" s="314"/>
      <c r="L22" s="5"/>
      <c r="M22" s="313"/>
      <c r="N22" s="315"/>
      <c r="O22" s="11"/>
      <c r="P22" s="10" t="s">
        <v>86</v>
      </c>
    </row>
    <row r="23" spans="1:14" ht="11.25">
      <c r="A23" s="20"/>
      <c r="B23" s="4" t="s">
        <v>6</v>
      </c>
      <c r="C23" s="4"/>
      <c r="D23" s="4"/>
      <c r="E23" s="3"/>
      <c r="F23" s="3"/>
      <c r="G23" s="23"/>
      <c r="H23" s="23"/>
      <c r="I23" s="5"/>
      <c r="J23" s="23"/>
      <c r="K23" s="23"/>
      <c r="L23" s="5"/>
      <c r="M23" s="23"/>
      <c r="N23" s="24"/>
    </row>
    <row r="24" spans="1:16" ht="11.25">
      <c r="A24" s="20"/>
      <c r="B24" s="22"/>
      <c r="C24" s="4"/>
      <c r="D24" s="4"/>
      <c r="E24" s="3"/>
      <c r="F24" s="29" t="s">
        <v>20</v>
      </c>
      <c r="G24" s="293">
        <v>0.457</v>
      </c>
      <c r="H24" s="294"/>
      <c r="I24" s="3"/>
      <c r="J24" s="293">
        <v>0.478</v>
      </c>
      <c r="K24" s="294"/>
      <c r="L24" s="3"/>
      <c r="M24" s="293">
        <v>0.5</v>
      </c>
      <c r="N24" s="295"/>
      <c r="P24" s="10" t="s">
        <v>30</v>
      </c>
    </row>
    <row r="25" spans="1:16" ht="11.25">
      <c r="A25" s="20"/>
      <c r="B25" s="22"/>
      <c r="C25" s="4"/>
      <c r="D25" s="4"/>
      <c r="E25" s="3"/>
      <c r="F25" s="29" t="s">
        <v>21</v>
      </c>
      <c r="G25" s="293">
        <v>0.543</v>
      </c>
      <c r="H25" s="294"/>
      <c r="I25" s="3"/>
      <c r="J25" s="293">
        <v>0.522</v>
      </c>
      <c r="K25" s="294"/>
      <c r="L25" s="3"/>
      <c r="M25" s="293">
        <v>0.5</v>
      </c>
      <c r="N25" s="295"/>
      <c r="P25" s="10" t="s">
        <v>31</v>
      </c>
    </row>
    <row r="26" spans="1:14" ht="11.25">
      <c r="A26" s="62" t="s">
        <v>60</v>
      </c>
      <c r="B26" s="22"/>
      <c r="C26" s="4"/>
      <c r="D26" s="4"/>
      <c r="E26" s="3"/>
      <c r="F26" s="29"/>
      <c r="G26" s="60"/>
      <c r="H26" s="60"/>
      <c r="I26" s="5"/>
      <c r="J26" s="60"/>
      <c r="K26" s="60"/>
      <c r="L26" s="5"/>
      <c r="M26" s="60"/>
      <c r="N26" s="61"/>
    </row>
    <row r="27" spans="1:16" ht="11.25">
      <c r="A27" s="20"/>
      <c r="B27" s="22"/>
      <c r="C27" s="4"/>
      <c r="D27" s="4"/>
      <c r="E27" s="3"/>
      <c r="F27" s="29" t="s">
        <v>61</v>
      </c>
      <c r="G27" s="313">
        <f>206708.06+4500+33826.02</f>
        <v>245034.08</v>
      </c>
      <c r="H27" s="314"/>
      <c r="I27" s="5"/>
      <c r="J27" s="313">
        <f>333464.88+27000</f>
        <v>360464.88</v>
      </c>
      <c r="K27" s="314"/>
      <c r="L27" s="5"/>
      <c r="M27" s="313">
        <f>298695+1500+28908</f>
        <v>329103</v>
      </c>
      <c r="N27" s="315"/>
      <c r="P27" s="10" t="s">
        <v>91</v>
      </c>
    </row>
    <row r="28" spans="1:16" ht="11.25">
      <c r="A28" s="20"/>
      <c r="B28" s="22"/>
      <c r="C28" s="4"/>
      <c r="D28" s="4"/>
      <c r="E28" s="3"/>
      <c r="F28" s="29" t="s">
        <v>62</v>
      </c>
      <c r="G28" s="313">
        <v>86894</v>
      </c>
      <c r="H28" s="314"/>
      <c r="I28" s="5"/>
      <c r="J28" s="313">
        <v>83408</v>
      </c>
      <c r="K28" s="314"/>
      <c r="L28" s="5"/>
      <c r="M28" s="313">
        <v>80226</v>
      </c>
      <c r="N28" s="315"/>
      <c r="P28" s="10" t="s">
        <v>91</v>
      </c>
    </row>
    <row r="29" spans="1:16" ht="11.25">
      <c r="A29" s="20"/>
      <c r="B29" s="22"/>
      <c r="C29" s="4"/>
      <c r="D29" s="4"/>
      <c r="E29" s="3"/>
      <c r="F29" s="29" t="s">
        <v>63</v>
      </c>
      <c r="G29" s="310">
        <v>112411.47</v>
      </c>
      <c r="H29" s="311"/>
      <c r="I29" s="5"/>
      <c r="J29" s="310">
        <v>158129</v>
      </c>
      <c r="K29" s="311"/>
      <c r="L29" s="5"/>
      <c r="M29" s="310">
        <v>131304.81</v>
      </c>
      <c r="N29" s="312"/>
      <c r="P29" s="10" t="s">
        <v>90</v>
      </c>
    </row>
    <row r="30" spans="1:14" ht="11.25">
      <c r="A30" s="20"/>
      <c r="B30" s="22"/>
      <c r="C30" s="4"/>
      <c r="D30" s="4"/>
      <c r="E30" s="3"/>
      <c r="F30" s="29"/>
      <c r="G30" s="73"/>
      <c r="H30" s="74"/>
      <c r="I30" s="5"/>
      <c r="J30" s="73"/>
      <c r="K30" s="74"/>
      <c r="L30" s="5"/>
      <c r="M30" s="73"/>
      <c r="N30" s="75"/>
    </row>
    <row r="31" spans="1:18" ht="11.25">
      <c r="A31" s="20"/>
      <c r="B31" s="4"/>
      <c r="C31" s="4"/>
      <c r="D31" s="4"/>
      <c r="E31" s="3"/>
      <c r="F31" s="63" t="s">
        <v>64</v>
      </c>
      <c r="G31" s="299">
        <f>SUM(G27:H29)/(G11+G18)</f>
        <v>94.25955663979633</v>
      </c>
      <c r="H31" s="300"/>
      <c r="I31" s="22"/>
      <c r="J31" s="299">
        <f>SUM(J27:K29)/(J11+J18)</f>
        <v>131.7002581492015</v>
      </c>
      <c r="K31" s="300"/>
      <c r="L31" s="22"/>
      <c r="M31" s="299">
        <f>SUM(M27:N29)/(M11+M18)</f>
        <v>123.91331881732754</v>
      </c>
      <c r="N31" s="301"/>
      <c r="O31"/>
      <c r="P31" t="s">
        <v>32</v>
      </c>
      <c r="Q31"/>
      <c r="R31"/>
    </row>
    <row r="32" spans="1:14" ht="11.25">
      <c r="A32" s="21" t="s">
        <v>3</v>
      </c>
      <c r="B32" s="22"/>
      <c r="C32" s="4"/>
      <c r="D32" s="4"/>
      <c r="E32" s="3"/>
      <c r="F32" s="3"/>
      <c r="G32" s="8"/>
      <c r="H32" s="8"/>
      <c r="I32" s="3"/>
      <c r="J32" s="8"/>
      <c r="K32" s="8"/>
      <c r="L32" s="3"/>
      <c r="M32" s="8"/>
      <c r="N32" s="25"/>
    </row>
    <row r="33" spans="1:22" ht="11.25">
      <c r="A33" s="20"/>
      <c r="B33" s="22"/>
      <c r="C33" s="4"/>
      <c r="D33" s="48"/>
      <c r="E33" s="49"/>
      <c r="F33" s="50" t="s">
        <v>43</v>
      </c>
      <c r="G33" s="302">
        <v>1.8</v>
      </c>
      <c r="H33" s="303"/>
      <c r="I33" s="56"/>
      <c r="J33" s="302">
        <v>2.2</v>
      </c>
      <c r="K33" s="303"/>
      <c r="L33" s="56"/>
      <c r="M33" s="302">
        <v>3.1</v>
      </c>
      <c r="N33" s="304"/>
      <c r="O33"/>
      <c r="P33" s="46" t="s">
        <v>47</v>
      </c>
      <c r="Q33" s="47"/>
      <c r="R33" s="47"/>
      <c r="S33" s="46"/>
      <c r="T33" s="46"/>
      <c r="U33" s="46"/>
      <c r="V33" s="46"/>
    </row>
    <row r="34" spans="1:22" ht="11.25">
      <c r="A34" s="20"/>
      <c r="B34" s="22"/>
      <c r="C34" s="4"/>
      <c r="D34" s="48"/>
      <c r="E34" s="49"/>
      <c r="F34" s="50" t="s">
        <v>44</v>
      </c>
      <c r="G34" s="302">
        <v>1.1</v>
      </c>
      <c r="H34" s="303"/>
      <c r="I34" s="56"/>
      <c r="J34" s="302">
        <v>1.1</v>
      </c>
      <c r="K34" s="303"/>
      <c r="L34" s="56"/>
      <c r="M34" s="302">
        <v>0.1</v>
      </c>
      <c r="N34" s="304"/>
      <c r="O34"/>
      <c r="P34" s="46" t="s">
        <v>48</v>
      </c>
      <c r="Q34" s="47"/>
      <c r="R34" s="47"/>
      <c r="S34" s="46"/>
      <c r="T34" s="46"/>
      <c r="U34" s="46"/>
      <c r="V34" s="46"/>
    </row>
    <row r="35" spans="1:22" ht="11.25">
      <c r="A35" s="20"/>
      <c r="B35" s="22"/>
      <c r="C35" s="4"/>
      <c r="D35" s="48"/>
      <c r="E35" s="49"/>
      <c r="F35" s="50" t="s">
        <v>45</v>
      </c>
      <c r="G35" s="307">
        <v>1.2</v>
      </c>
      <c r="H35" s="308"/>
      <c r="I35" s="56"/>
      <c r="J35" s="307">
        <v>0.9</v>
      </c>
      <c r="K35" s="308"/>
      <c r="L35" s="56"/>
      <c r="M35" s="307">
        <v>0.7</v>
      </c>
      <c r="N35" s="309"/>
      <c r="O35"/>
      <c r="P35" s="46" t="s">
        <v>50</v>
      </c>
      <c r="Q35" s="47"/>
      <c r="R35" s="47"/>
      <c r="S35" s="46"/>
      <c r="T35" s="46"/>
      <c r="U35" s="46"/>
      <c r="V35" s="46"/>
    </row>
    <row r="36" spans="1:22" ht="11.25">
      <c r="A36" s="20"/>
      <c r="B36" s="22"/>
      <c r="C36" s="4"/>
      <c r="D36" s="48"/>
      <c r="E36" s="49"/>
      <c r="F36" s="50" t="s">
        <v>46</v>
      </c>
      <c r="G36" s="305"/>
      <c r="H36" s="305"/>
      <c r="I36" s="56"/>
      <c r="J36" s="305"/>
      <c r="K36" s="305"/>
      <c r="L36" s="56"/>
      <c r="M36" s="305"/>
      <c r="N36" s="306"/>
      <c r="O36"/>
      <c r="P36" s="46" t="s">
        <v>49</v>
      </c>
      <c r="Q36" s="47"/>
      <c r="R36" s="47"/>
      <c r="S36" s="46"/>
      <c r="T36" s="46"/>
      <c r="U36" s="46"/>
      <c r="V36" s="46"/>
    </row>
    <row r="37" spans="1:18" s="69" customFormat="1" ht="11.25">
      <c r="A37" s="64"/>
      <c r="B37" s="65"/>
      <c r="C37" s="66"/>
      <c r="D37" s="66"/>
      <c r="E37" s="5"/>
      <c r="F37" s="67"/>
      <c r="G37" s="70"/>
      <c r="H37" s="70"/>
      <c r="I37" s="68"/>
      <c r="J37" s="70"/>
      <c r="K37" s="70"/>
      <c r="L37" s="68"/>
      <c r="M37" s="70"/>
      <c r="N37" s="71"/>
      <c r="O37" s="12"/>
      <c r="Q37" s="12"/>
      <c r="R37" s="12"/>
    </row>
    <row r="38" spans="1:22" ht="11.25">
      <c r="A38" s="20"/>
      <c r="B38" s="22"/>
      <c r="C38" s="4"/>
      <c r="D38" s="48"/>
      <c r="E38" s="49"/>
      <c r="F38" s="50" t="s">
        <v>66</v>
      </c>
      <c r="G38" s="305">
        <f>160+1689</f>
        <v>1849</v>
      </c>
      <c r="H38" s="305"/>
      <c r="I38" s="56"/>
      <c r="J38" s="305">
        <v>1979</v>
      </c>
      <c r="K38" s="305"/>
      <c r="L38" s="56"/>
      <c r="M38" s="305">
        <f>672+2711</f>
        <v>3383</v>
      </c>
      <c r="N38" s="306"/>
      <c r="O38"/>
      <c r="P38" s="46" t="s">
        <v>72</v>
      </c>
      <c r="Q38" s="47"/>
      <c r="R38" s="47"/>
      <c r="S38" s="46"/>
      <c r="T38" s="46"/>
      <c r="U38" s="46"/>
      <c r="V38" s="46"/>
    </row>
    <row r="39" spans="1:22" ht="11.25">
      <c r="A39" s="20"/>
      <c r="B39" s="22"/>
      <c r="C39" s="4"/>
      <c r="D39" s="48"/>
      <c r="E39" s="49"/>
      <c r="F39" s="50" t="s">
        <v>65</v>
      </c>
      <c r="G39" s="299">
        <v>1193</v>
      </c>
      <c r="H39" s="300"/>
      <c r="I39" s="56"/>
      <c r="J39" s="299">
        <v>1432</v>
      </c>
      <c r="K39" s="300"/>
      <c r="L39" s="56"/>
      <c r="M39" s="299">
        <v>56</v>
      </c>
      <c r="N39" s="301"/>
      <c r="O39"/>
      <c r="P39" s="46" t="s">
        <v>73</v>
      </c>
      <c r="Q39" s="47"/>
      <c r="R39" s="47"/>
      <c r="S39" s="46"/>
      <c r="T39" s="46"/>
      <c r="U39" s="46"/>
      <c r="V39" s="46"/>
    </row>
    <row r="40" spans="1:22" ht="11.25">
      <c r="A40" s="20"/>
      <c r="B40" s="22"/>
      <c r="C40" s="4"/>
      <c r="D40" s="48"/>
      <c r="E40" s="49"/>
      <c r="F40" s="50" t="s">
        <v>67</v>
      </c>
      <c r="G40" s="302">
        <v>1672</v>
      </c>
      <c r="H40" s="303"/>
      <c r="I40" s="56"/>
      <c r="J40" s="302">
        <v>1159</v>
      </c>
      <c r="K40" s="303"/>
      <c r="L40" s="56"/>
      <c r="M40" s="302">
        <v>924</v>
      </c>
      <c r="N40" s="304"/>
      <c r="O40"/>
      <c r="P40" s="46" t="s">
        <v>75</v>
      </c>
      <c r="Q40" s="47"/>
      <c r="R40" s="47"/>
      <c r="S40" s="46"/>
      <c r="T40" s="46"/>
      <c r="U40" s="46"/>
      <c r="V40" s="46"/>
    </row>
    <row r="41" spans="1:22" ht="11.25">
      <c r="A41" s="20"/>
      <c r="B41" s="22"/>
      <c r="C41" s="4"/>
      <c r="D41" s="48"/>
      <c r="E41" s="49"/>
      <c r="F41" s="50" t="s">
        <v>68</v>
      </c>
      <c r="G41" s="302"/>
      <c r="H41" s="303"/>
      <c r="I41" s="56"/>
      <c r="J41" s="302"/>
      <c r="K41" s="303"/>
      <c r="L41" s="56"/>
      <c r="M41" s="302"/>
      <c r="N41" s="304"/>
      <c r="O41"/>
      <c r="P41" s="46" t="s">
        <v>74</v>
      </c>
      <c r="Q41" s="47"/>
      <c r="R41" s="47"/>
      <c r="S41" s="46"/>
      <c r="T41" s="46"/>
      <c r="U41" s="46"/>
      <c r="V41" s="46"/>
    </row>
    <row r="42" spans="1:18" ht="11.25">
      <c r="A42" s="20"/>
      <c r="B42" s="4"/>
      <c r="C42" s="4"/>
      <c r="D42" s="4"/>
      <c r="E42" s="3"/>
      <c r="F42" s="3"/>
      <c r="G42" s="9"/>
      <c r="H42" s="9"/>
      <c r="I42" s="22"/>
      <c r="J42" s="9"/>
      <c r="K42" s="9"/>
      <c r="L42" s="22"/>
      <c r="M42" s="9"/>
      <c r="N42" s="26"/>
      <c r="O42"/>
      <c r="P42"/>
      <c r="Q42"/>
      <c r="R42"/>
    </row>
    <row r="43" spans="1:18" ht="11.25">
      <c r="A43" s="20"/>
      <c r="B43" s="22"/>
      <c r="C43" s="4"/>
      <c r="D43" s="4"/>
      <c r="E43" s="3"/>
      <c r="F43" s="29" t="s">
        <v>22</v>
      </c>
      <c r="G43" s="302">
        <f>+(G11+G18)/(G33+G34)</f>
        <v>1625.5172413793102</v>
      </c>
      <c r="H43" s="303"/>
      <c r="I43" s="22"/>
      <c r="J43" s="302">
        <f>+(J11+J18)/(J33+J34)</f>
        <v>1385.151515151515</v>
      </c>
      <c r="K43" s="303"/>
      <c r="L43" s="22"/>
      <c r="M43" s="302">
        <f>+(M11+M18)/(M33+M34)</f>
        <v>1363.4375</v>
      </c>
      <c r="N43" s="303"/>
      <c r="O43"/>
      <c r="P43" t="s">
        <v>32</v>
      </c>
      <c r="Q43"/>
      <c r="R43"/>
    </row>
    <row r="44" spans="1:18" ht="11.25">
      <c r="A44" s="20"/>
      <c r="B44" s="22"/>
      <c r="C44" s="4"/>
      <c r="D44" s="4"/>
      <c r="E44" s="3"/>
      <c r="F44" s="29" t="s">
        <v>216</v>
      </c>
      <c r="G44" s="332">
        <f>(G11+G18)/SUM(G33:H36)</f>
        <v>1149.7560975609754</v>
      </c>
      <c r="H44" s="332"/>
      <c r="I44" s="22"/>
      <c r="J44" s="332">
        <f>(J11+J18)/SUM(J33:K36)</f>
        <v>1088.3333333333333</v>
      </c>
      <c r="K44" s="332"/>
      <c r="L44" s="22"/>
      <c r="M44" s="332">
        <f>(M11+M18)/SUM(M33:N36)</f>
        <v>1118.7179487179487</v>
      </c>
      <c r="N44" s="332"/>
      <c r="O44"/>
      <c r="P44"/>
      <c r="Q44"/>
      <c r="R44"/>
    </row>
    <row r="45" spans="1:17" ht="11.25">
      <c r="A45" s="20"/>
      <c r="B45" s="4"/>
      <c r="C45" s="4"/>
      <c r="D45" s="4"/>
      <c r="E45" s="3"/>
      <c r="F45" s="3"/>
      <c r="G45" s="34" t="s">
        <v>24</v>
      </c>
      <c r="H45" s="34" t="s">
        <v>23</v>
      </c>
      <c r="I45" s="28"/>
      <c r="J45" s="34" t="s">
        <v>24</v>
      </c>
      <c r="K45" s="34" t="s">
        <v>23</v>
      </c>
      <c r="L45" s="28"/>
      <c r="M45" s="34" t="s">
        <v>24</v>
      </c>
      <c r="N45" s="35" t="s">
        <v>23</v>
      </c>
      <c r="O45" s="14"/>
      <c r="P45" s="13"/>
      <c r="Q45" s="31"/>
    </row>
    <row r="46" spans="1:22" ht="11.25">
      <c r="A46" s="20"/>
      <c r="B46" s="4"/>
      <c r="C46" s="4"/>
      <c r="D46" s="52"/>
      <c r="E46" s="53"/>
      <c r="F46" s="54" t="s">
        <v>25</v>
      </c>
      <c r="G46" s="76">
        <v>4</v>
      </c>
      <c r="H46" s="32">
        <f>G46/SUM($G$46:$G$49)</f>
        <v>1</v>
      </c>
      <c r="I46" s="28"/>
      <c r="J46" s="76">
        <v>4</v>
      </c>
      <c r="K46" s="32">
        <f>J46/SUM($J$46:$J$49)</f>
        <v>1</v>
      </c>
      <c r="L46" s="28"/>
      <c r="M46" s="76">
        <v>4</v>
      </c>
      <c r="N46" s="36">
        <f>M46/SUM($M$46:$M$49)</f>
        <v>1</v>
      </c>
      <c r="O46" s="14"/>
      <c r="P46" s="55" t="s">
        <v>84</v>
      </c>
      <c r="Q46" s="51"/>
      <c r="R46" s="55"/>
      <c r="S46" s="55"/>
      <c r="T46" s="55"/>
      <c r="U46" s="55"/>
      <c r="V46" s="55"/>
    </row>
    <row r="47" spans="1:22" ht="11.25">
      <c r="A47" s="20"/>
      <c r="B47" s="4"/>
      <c r="C47" s="4"/>
      <c r="D47" s="52"/>
      <c r="E47" s="53"/>
      <c r="F47" s="54" t="s">
        <v>13</v>
      </c>
      <c r="G47" s="76"/>
      <c r="H47" s="32">
        <f aca="true" t="shared" si="0" ref="H47:H49">G47/SUM($G$46:$G$49)</f>
        <v>0</v>
      </c>
      <c r="I47" s="28"/>
      <c r="J47" s="76"/>
      <c r="K47" s="32">
        <f aca="true" t="shared" si="1" ref="K47:K49">J47/SUM($J$46:$J$49)</f>
        <v>0</v>
      </c>
      <c r="L47" s="28"/>
      <c r="M47" s="76"/>
      <c r="N47" s="36">
        <f aca="true" t="shared" si="2" ref="N47:N49">M47/SUM($M$46:$M$49)</f>
        <v>0</v>
      </c>
      <c r="O47" s="14"/>
      <c r="P47" s="55" t="s">
        <v>84</v>
      </c>
      <c r="Q47" s="51"/>
      <c r="R47" s="55"/>
      <c r="S47" s="55"/>
      <c r="T47" s="55"/>
      <c r="U47" s="55"/>
      <c r="V47" s="55"/>
    </row>
    <row r="48" spans="1:22" ht="11.25">
      <c r="A48" s="20"/>
      <c r="B48" s="4"/>
      <c r="C48" s="4"/>
      <c r="D48" s="52"/>
      <c r="E48" s="53"/>
      <c r="F48" s="54" t="s">
        <v>51</v>
      </c>
      <c r="G48" s="76"/>
      <c r="H48" s="32">
        <f t="shared" si="0"/>
        <v>0</v>
      </c>
      <c r="I48" s="28"/>
      <c r="J48" s="76"/>
      <c r="K48" s="32">
        <f t="shared" si="1"/>
        <v>0</v>
      </c>
      <c r="L48" s="28"/>
      <c r="M48" s="76"/>
      <c r="N48" s="36">
        <f t="shared" si="2"/>
        <v>0</v>
      </c>
      <c r="O48" s="14"/>
      <c r="P48" s="55" t="s">
        <v>85</v>
      </c>
      <c r="Q48" s="51"/>
      <c r="R48" s="55"/>
      <c r="S48" s="55"/>
      <c r="T48" s="55"/>
      <c r="U48" s="55"/>
      <c r="V48" s="55"/>
    </row>
    <row r="49" spans="1:22" ht="11.25">
      <c r="A49" s="20"/>
      <c r="B49" s="4"/>
      <c r="C49" s="4"/>
      <c r="D49" s="52"/>
      <c r="E49" s="53"/>
      <c r="F49" s="54" t="s">
        <v>52</v>
      </c>
      <c r="G49" s="76"/>
      <c r="H49" s="32">
        <f t="shared" si="0"/>
        <v>0</v>
      </c>
      <c r="I49" s="28"/>
      <c r="J49" s="76"/>
      <c r="K49" s="32">
        <f t="shared" si="1"/>
        <v>0</v>
      </c>
      <c r="L49" s="28"/>
      <c r="M49" s="76"/>
      <c r="N49" s="36">
        <f t="shared" si="2"/>
        <v>0</v>
      </c>
      <c r="O49" s="14"/>
      <c r="P49" s="55" t="s">
        <v>85</v>
      </c>
      <c r="Q49" s="51"/>
      <c r="R49" s="55"/>
      <c r="S49" s="55"/>
      <c r="T49" s="55"/>
      <c r="U49" s="55"/>
      <c r="V49" s="55"/>
    </row>
    <row r="50" spans="1:14" ht="11.25">
      <c r="A50" s="21" t="s">
        <v>4</v>
      </c>
      <c r="B50" s="22"/>
      <c r="C50" s="4"/>
      <c r="D50" s="4"/>
      <c r="E50" s="3"/>
      <c r="F50" s="3"/>
      <c r="G50" s="8"/>
      <c r="H50" s="8"/>
      <c r="I50" s="3"/>
      <c r="J50" s="8"/>
      <c r="K50" s="8"/>
      <c r="L50" s="3"/>
      <c r="M50" s="8"/>
      <c r="N50" s="25"/>
    </row>
    <row r="51" spans="1:16" ht="11.25">
      <c r="A51" s="21"/>
      <c r="B51" s="22"/>
      <c r="C51" s="4"/>
      <c r="D51" s="4"/>
      <c r="E51" s="3"/>
      <c r="F51" s="63" t="s">
        <v>77</v>
      </c>
      <c r="G51" s="293">
        <v>0.913</v>
      </c>
      <c r="H51" s="294"/>
      <c r="I51" s="72"/>
      <c r="J51" s="293">
        <v>0.939</v>
      </c>
      <c r="K51" s="294"/>
      <c r="L51" s="72"/>
      <c r="M51" s="293">
        <v>0.916</v>
      </c>
      <c r="N51" s="295"/>
      <c r="P51" s="10" t="s">
        <v>87</v>
      </c>
    </row>
    <row r="52" spans="1:16" ht="11.25">
      <c r="A52" s="21"/>
      <c r="B52" s="22"/>
      <c r="C52" s="4"/>
      <c r="D52" s="4"/>
      <c r="E52" s="3"/>
      <c r="F52" s="63" t="s">
        <v>76</v>
      </c>
      <c r="G52" s="293">
        <v>0.223</v>
      </c>
      <c r="H52" s="294"/>
      <c r="I52" s="72"/>
      <c r="J52" s="293">
        <v>0.131</v>
      </c>
      <c r="K52" s="294"/>
      <c r="L52" s="72"/>
      <c r="M52" s="293">
        <v>0.152</v>
      </c>
      <c r="N52" s="295"/>
      <c r="P52" s="10" t="s">
        <v>79</v>
      </c>
    </row>
    <row r="53" spans="1:16" ht="10.65" customHeight="1">
      <c r="A53" s="20"/>
      <c r="B53" s="23"/>
      <c r="C53" s="4"/>
      <c r="D53" s="4"/>
      <c r="E53" s="3"/>
      <c r="F53" s="29" t="s">
        <v>10</v>
      </c>
      <c r="G53" s="296">
        <v>13</v>
      </c>
      <c r="H53" s="297"/>
      <c r="I53" s="3"/>
      <c r="J53" s="296">
        <v>13</v>
      </c>
      <c r="K53" s="297"/>
      <c r="L53" s="3"/>
      <c r="M53" s="296">
        <v>14</v>
      </c>
      <c r="N53" s="298"/>
      <c r="P53" s="10" t="s">
        <v>34</v>
      </c>
    </row>
    <row r="54" spans="1:16" ht="11.25">
      <c r="A54" s="20"/>
      <c r="B54" s="23"/>
      <c r="C54" s="4"/>
      <c r="D54" s="4"/>
      <c r="E54" s="3"/>
      <c r="F54" s="29" t="s">
        <v>8</v>
      </c>
      <c r="G54" s="296">
        <v>28</v>
      </c>
      <c r="H54" s="297"/>
      <c r="I54" s="14"/>
      <c r="J54" s="296">
        <v>28</v>
      </c>
      <c r="K54" s="297"/>
      <c r="L54" s="14"/>
      <c r="M54" s="296">
        <v>29</v>
      </c>
      <c r="N54" s="298"/>
      <c r="P54" s="10" t="s">
        <v>36</v>
      </c>
    </row>
    <row r="55" spans="1:16" ht="11.25">
      <c r="A55" s="20"/>
      <c r="B55" s="23"/>
      <c r="C55" s="4"/>
      <c r="D55" s="4"/>
      <c r="E55" s="3"/>
      <c r="F55" s="42" t="s">
        <v>11</v>
      </c>
      <c r="G55" s="296">
        <v>11.5</v>
      </c>
      <c r="H55" s="297"/>
      <c r="I55" s="3"/>
      <c r="J55" s="296">
        <v>12.6</v>
      </c>
      <c r="K55" s="297"/>
      <c r="L55" s="3"/>
      <c r="M55" s="296">
        <v>11.5</v>
      </c>
      <c r="N55" s="298"/>
      <c r="P55" s="10" t="s">
        <v>42</v>
      </c>
    </row>
    <row r="56" spans="1:19" ht="11.25">
      <c r="A56" s="20"/>
      <c r="B56" s="22"/>
      <c r="C56" s="4"/>
      <c r="D56" s="4"/>
      <c r="E56" s="3"/>
      <c r="F56" s="29" t="s">
        <v>9</v>
      </c>
      <c r="G56" s="293">
        <v>0.98</v>
      </c>
      <c r="H56" s="294"/>
      <c r="I56" s="3"/>
      <c r="J56" s="293">
        <v>0.98</v>
      </c>
      <c r="K56" s="294"/>
      <c r="L56" s="3"/>
      <c r="M56" s="293">
        <v>0.97</v>
      </c>
      <c r="N56" s="295"/>
      <c r="P56" s="10" t="s">
        <v>37</v>
      </c>
      <c r="Q56"/>
      <c r="R56"/>
      <c r="S56"/>
    </row>
    <row r="57" spans="1:19" ht="11.25">
      <c r="A57" s="20"/>
      <c r="B57" s="22"/>
      <c r="C57" s="4"/>
      <c r="D57" s="4"/>
      <c r="E57" s="27"/>
      <c r="F57" s="29" t="s">
        <v>12</v>
      </c>
      <c r="G57" s="296">
        <v>0</v>
      </c>
      <c r="H57" s="297"/>
      <c r="I57" s="28"/>
      <c r="J57" s="296">
        <v>0</v>
      </c>
      <c r="K57" s="297"/>
      <c r="L57" s="28"/>
      <c r="M57" s="296">
        <v>0</v>
      </c>
      <c r="N57" s="298"/>
      <c r="P57" s="10" t="s">
        <v>38</v>
      </c>
      <c r="Q57"/>
      <c r="R57"/>
      <c r="S57"/>
    </row>
    <row r="58" spans="1:19" ht="11.25">
      <c r="A58" s="20"/>
      <c r="B58" s="22"/>
      <c r="C58" s="4"/>
      <c r="D58" s="4"/>
      <c r="E58" s="3"/>
      <c r="F58" s="29" t="s">
        <v>19</v>
      </c>
      <c r="G58" s="293">
        <v>0</v>
      </c>
      <c r="H58" s="294"/>
      <c r="I58" s="28"/>
      <c r="J58" s="293">
        <v>0.03</v>
      </c>
      <c r="K58" s="294"/>
      <c r="L58" s="28"/>
      <c r="M58" s="293">
        <v>0.031</v>
      </c>
      <c r="N58" s="295"/>
      <c r="P58" s="10" t="s">
        <v>39</v>
      </c>
      <c r="Q58"/>
      <c r="R58"/>
      <c r="S58"/>
    </row>
    <row r="59" spans="1:19" ht="11.25">
      <c r="A59" s="20"/>
      <c r="B59" s="22"/>
      <c r="C59" s="4"/>
      <c r="D59" s="4"/>
      <c r="E59" s="3"/>
      <c r="F59" s="29" t="s">
        <v>0</v>
      </c>
      <c r="G59" s="293">
        <v>-0.049</v>
      </c>
      <c r="H59" s="294"/>
      <c r="I59" s="28"/>
      <c r="J59" s="293">
        <v>0.025</v>
      </c>
      <c r="K59" s="294"/>
      <c r="L59" s="28"/>
      <c r="M59" s="293">
        <v>0.025</v>
      </c>
      <c r="N59" s="295"/>
      <c r="P59" s="10" t="s">
        <v>40</v>
      </c>
      <c r="Q59"/>
      <c r="R59"/>
      <c r="S59"/>
    </row>
    <row r="60" spans="1:14" ht="11.25">
      <c r="A60" s="21" t="s">
        <v>1</v>
      </c>
      <c r="B60" s="28"/>
      <c r="C60" s="28"/>
      <c r="D60" s="28"/>
      <c r="E60" s="28"/>
      <c r="F60" s="28"/>
      <c r="G60" s="28"/>
      <c r="H60" s="28"/>
      <c r="I60" s="28"/>
      <c r="J60" s="28"/>
      <c r="K60" s="28"/>
      <c r="L60" s="28"/>
      <c r="M60" s="28"/>
      <c r="N60" s="33"/>
    </row>
    <row r="61" spans="1:16" ht="11.25">
      <c r="A61" s="37"/>
      <c r="B61" s="28"/>
      <c r="C61" s="28"/>
      <c r="D61" s="28"/>
      <c r="E61" s="28"/>
      <c r="F61" s="28"/>
      <c r="G61" s="28"/>
      <c r="H61" s="28"/>
      <c r="I61" s="28"/>
      <c r="J61" s="28"/>
      <c r="K61" s="28"/>
      <c r="L61" s="28"/>
      <c r="M61" s="28"/>
      <c r="N61" s="33"/>
      <c r="P61" t="s">
        <v>35</v>
      </c>
    </row>
    <row r="62" spans="1:14" ht="11.25">
      <c r="A62" s="38"/>
      <c r="B62" s="23"/>
      <c r="C62" s="23"/>
      <c r="D62" s="23"/>
      <c r="E62" s="23"/>
      <c r="F62" s="23"/>
      <c r="G62" s="23"/>
      <c r="H62" s="23"/>
      <c r="I62" s="23"/>
      <c r="J62" s="23"/>
      <c r="K62" s="23"/>
      <c r="L62" s="23"/>
      <c r="M62" s="23"/>
      <c r="N62" s="24"/>
    </row>
    <row r="63" spans="1:14" ht="11.25">
      <c r="A63" s="38"/>
      <c r="B63" s="23"/>
      <c r="C63" s="23"/>
      <c r="D63" s="23"/>
      <c r="E63" s="23"/>
      <c r="F63" s="23"/>
      <c r="G63" s="23"/>
      <c r="H63" s="23"/>
      <c r="I63" s="23"/>
      <c r="J63" s="23"/>
      <c r="K63" s="23"/>
      <c r="L63" s="23"/>
      <c r="M63" s="23"/>
      <c r="N63" s="24"/>
    </row>
    <row r="64" spans="1:16" ht="11.25">
      <c r="A64" s="38"/>
      <c r="B64" s="23"/>
      <c r="C64" s="23"/>
      <c r="D64" s="23"/>
      <c r="E64" s="23"/>
      <c r="F64" s="23"/>
      <c r="G64" s="23"/>
      <c r="H64" s="23"/>
      <c r="I64" s="23"/>
      <c r="J64" s="23"/>
      <c r="K64" s="23"/>
      <c r="L64" s="23"/>
      <c r="M64" s="23"/>
      <c r="N64" s="24"/>
      <c r="P64" s="44" t="s">
        <v>41</v>
      </c>
    </row>
    <row r="65" spans="1:14" ht="11.25">
      <c r="A65" s="38"/>
      <c r="B65" s="23"/>
      <c r="C65" s="23"/>
      <c r="D65" s="23"/>
      <c r="E65" s="23"/>
      <c r="F65" s="23"/>
      <c r="G65" s="23"/>
      <c r="H65" s="23"/>
      <c r="I65" s="23"/>
      <c r="J65" s="23"/>
      <c r="K65" s="23"/>
      <c r="L65" s="23"/>
      <c r="M65" s="23"/>
      <c r="N65" s="24"/>
    </row>
    <row r="66" spans="1:14" ht="12.75" thickBot="1">
      <c r="A66" s="39"/>
      <c r="B66" s="40"/>
      <c r="C66" s="40"/>
      <c r="D66" s="40"/>
      <c r="E66" s="40"/>
      <c r="F66" s="40"/>
      <c r="G66" s="40"/>
      <c r="H66" s="40"/>
      <c r="I66" s="40"/>
      <c r="J66" s="40"/>
      <c r="K66" s="40"/>
      <c r="L66" s="40"/>
      <c r="M66" s="40"/>
      <c r="N66" s="41"/>
    </row>
  </sheetData>
  <mergeCells count="122">
    <mergeCell ref="G5:H5"/>
    <mergeCell ref="G6:H6"/>
    <mergeCell ref="G7:H7"/>
    <mergeCell ref="G8:H8"/>
    <mergeCell ref="G9:H9"/>
    <mergeCell ref="J9:K9"/>
    <mergeCell ref="G2:N2"/>
    <mergeCell ref="G3:H3"/>
    <mergeCell ref="J3:K3"/>
    <mergeCell ref="M3:N3"/>
    <mergeCell ref="G4:H4"/>
    <mergeCell ref="J4:K4"/>
    <mergeCell ref="M4:N4"/>
    <mergeCell ref="G13:H13"/>
    <mergeCell ref="J13:K13"/>
    <mergeCell ref="M13:N13"/>
    <mergeCell ref="G14:H14"/>
    <mergeCell ref="J14:K14"/>
    <mergeCell ref="M14:N14"/>
    <mergeCell ref="M9:N9"/>
    <mergeCell ref="G11:H11"/>
    <mergeCell ref="J11:K11"/>
    <mergeCell ref="M11:N11"/>
    <mergeCell ref="G12:H12"/>
    <mergeCell ref="J12:K12"/>
    <mergeCell ref="M12:N12"/>
    <mergeCell ref="G18:H18"/>
    <mergeCell ref="J18:K18"/>
    <mergeCell ref="M18:N18"/>
    <mergeCell ref="G19:H19"/>
    <mergeCell ref="J19:K19"/>
    <mergeCell ref="M19:N19"/>
    <mergeCell ref="G15:H15"/>
    <mergeCell ref="J15:K15"/>
    <mergeCell ref="M15:N15"/>
    <mergeCell ref="G16:H16"/>
    <mergeCell ref="J16:K16"/>
    <mergeCell ref="M16:N16"/>
    <mergeCell ref="G22:H22"/>
    <mergeCell ref="J22:K22"/>
    <mergeCell ref="M22:N22"/>
    <mergeCell ref="G24:H24"/>
    <mergeCell ref="J24:K24"/>
    <mergeCell ref="M24:N24"/>
    <mergeCell ref="G20:H20"/>
    <mergeCell ref="J20:K20"/>
    <mergeCell ref="M20:N20"/>
    <mergeCell ref="G21:H21"/>
    <mergeCell ref="J21:K21"/>
    <mergeCell ref="M21:N21"/>
    <mergeCell ref="G28:H28"/>
    <mergeCell ref="J28:K28"/>
    <mergeCell ref="M28:N28"/>
    <mergeCell ref="G29:H29"/>
    <mergeCell ref="J29:K29"/>
    <mergeCell ref="M29:N29"/>
    <mergeCell ref="G25:H25"/>
    <mergeCell ref="J25:K25"/>
    <mergeCell ref="M25:N25"/>
    <mergeCell ref="G27:H27"/>
    <mergeCell ref="J27:K27"/>
    <mergeCell ref="M27:N27"/>
    <mergeCell ref="G34:H34"/>
    <mergeCell ref="J34:K34"/>
    <mergeCell ref="M34:N34"/>
    <mergeCell ref="G35:H35"/>
    <mergeCell ref="J35:K35"/>
    <mergeCell ref="M35:N35"/>
    <mergeCell ref="G31:H31"/>
    <mergeCell ref="J31:K31"/>
    <mergeCell ref="M31:N31"/>
    <mergeCell ref="G33:H33"/>
    <mergeCell ref="J33:K33"/>
    <mergeCell ref="M33:N33"/>
    <mergeCell ref="G39:H39"/>
    <mergeCell ref="J39:K39"/>
    <mergeCell ref="M39:N39"/>
    <mergeCell ref="G40:H40"/>
    <mergeCell ref="J40:K40"/>
    <mergeCell ref="M40:N40"/>
    <mergeCell ref="G36:H36"/>
    <mergeCell ref="J36:K36"/>
    <mergeCell ref="M36:N36"/>
    <mergeCell ref="G38:H38"/>
    <mergeCell ref="J38:K38"/>
    <mergeCell ref="M38:N38"/>
    <mergeCell ref="G51:H51"/>
    <mergeCell ref="J51:K51"/>
    <mergeCell ref="M51:N51"/>
    <mergeCell ref="G52:H52"/>
    <mergeCell ref="J52:K52"/>
    <mergeCell ref="M52:N52"/>
    <mergeCell ref="G41:H41"/>
    <mergeCell ref="J41:K41"/>
    <mergeCell ref="M41:N41"/>
    <mergeCell ref="G43:H43"/>
    <mergeCell ref="J43:K43"/>
    <mergeCell ref="M43:N43"/>
    <mergeCell ref="G59:H59"/>
    <mergeCell ref="J59:K59"/>
    <mergeCell ref="M59:N59"/>
    <mergeCell ref="G44:H44"/>
    <mergeCell ref="J44:K44"/>
    <mergeCell ref="M44:N44"/>
    <mergeCell ref="G57:H57"/>
    <mergeCell ref="J57:K57"/>
    <mergeCell ref="M57:N57"/>
    <mergeCell ref="G58:H58"/>
    <mergeCell ref="J58:K58"/>
    <mergeCell ref="M58:N58"/>
    <mergeCell ref="G55:H55"/>
    <mergeCell ref="J55:K55"/>
    <mergeCell ref="M55:N55"/>
    <mergeCell ref="G56:H56"/>
    <mergeCell ref="J56:K56"/>
    <mergeCell ref="M56:N56"/>
    <mergeCell ref="G53:H53"/>
    <mergeCell ref="J53:K53"/>
    <mergeCell ref="M53:N53"/>
    <mergeCell ref="G54:H54"/>
    <mergeCell ref="J54:K54"/>
    <mergeCell ref="M54:N54"/>
  </mergeCells>
  <printOptions/>
  <pageMargins left="0.25" right="0.25" top="0.75" bottom="0.75" header="0.3" footer="0.3"/>
  <pageSetup fitToHeight="1" fitToWidth="1" horizontalDpi="1200" verticalDpi="1200" orientation="portrait" scale="94" r:id="rId3"/>
  <colBreaks count="1" manualBreakCount="1">
    <brk id="14" max="16383" man="1"/>
  </colBreaks>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V66"/>
  <sheetViews>
    <sheetView showGridLines="0" workbookViewId="0" topLeftCell="A9">
      <selection activeCell="M43" sqref="M43:N43"/>
    </sheetView>
  </sheetViews>
  <sheetFormatPr defaultColWidth="9.00390625" defaultRowHeight="11.25"/>
  <cols>
    <col min="1" max="1" width="4.625" style="1" customWidth="1"/>
    <col min="2" max="5" width="9.00390625" style="1" customWidth="1"/>
    <col min="6" max="6" width="7.125" style="1" customWidth="1"/>
    <col min="7" max="8" width="9.125" style="1" customWidth="1"/>
    <col min="9" max="9" width="1.875" style="1" customWidth="1"/>
    <col min="10" max="11" width="9.125" style="1" customWidth="1"/>
    <col min="12" max="12" width="1.875" style="1" customWidth="1"/>
    <col min="13" max="14" width="9.125" style="1" customWidth="1"/>
    <col min="15" max="15" width="3.875" style="10" customWidth="1"/>
    <col min="16" max="16384" width="9.00390625" style="10" customWidth="1"/>
  </cols>
  <sheetData>
    <row r="1" spans="1:14" s="12" customFormat="1" ht="11.25">
      <c r="A1" s="17" t="s">
        <v>88</v>
      </c>
      <c r="B1" s="18"/>
      <c r="C1" s="18"/>
      <c r="D1" s="18"/>
      <c r="E1" s="18"/>
      <c r="F1" s="18"/>
      <c r="G1" s="18"/>
      <c r="H1" s="18"/>
      <c r="I1" s="18"/>
      <c r="J1" s="18"/>
      <c r="K1" s="18"/>
      <c r="L1" s="18"/>
      <c r="M1" s="18"/>
      <c r="N1" s="19"/>
    </row>
    <row r="2" spans="1:16" s="12" customFormat="1" ht="11.25">
      <c r="A2" s="20" t="s">
        <v>89</v>
      </c>
      <c r="B2" s="15"/>
      <c r="C2" s="15"/>
      <c r="D2" s="15"/>
      <c r="E2" s="15"/>
      <c r="F2" s="15"/>
      <c r="G2" s="328" t="s">
        <v>26</v>
      </c>
      <c r="H2" s="328"/>
      <c r="I2" s="328"/>
      <c r="J2" s="328"/>
      <c r="K2" s="328"/>
      <c r="L2" s="328"/>
      <c r="M2" s="328"/>
      <c r="N2" s="329"/>
      <c r="P2" s="43" t="s">
        <v>27</v>
      </c>
    </row>
    <row r="3" spans="1:14" ht="11.25">
      <c r="A3" s="45"/>
      <c r="B3" s="2"/>
      <c r="C3" s="2"/>
      <c r="D3" s="2"/>
      <c r="E3" s="2"/>
      <c r="F3" s="16" t="s">
        <v>14</v>
      </c>
      <c r="G3" s="330">
        <v>19</v>
      </c>
      <c r="H3" s="327"/>
      <c r="I3" s="2"/>
      <c r="J3" s="330">
        <v>18</v>
      </c>
      <c r="K3" s="327"/>
      <c r="L3" s="2"/>
      <c r="M3" s="330">
        <v>17</v>
      </c>
      <c r="N3" s="331"/>
    </row>
    <row r="4" spans="1:14" ht="11.25">
      <c r="A4" s="20"/>
      <c r="B4" s="2"/>
      <c r="C4" s="2"/>
      <c r="D4" s="2"/>
      <c r="E4" s="2"/>
      <c r="F4" s="16" t="s">
        <v>15</v>
      </c>
      <c r="G4" s="330" t="s">
        <v>80</v>
      </c>
      <c r="H4" s="327"/>
      <c r="I4" s="2"/>
      <c r="J4" s="330" t="s">
        <v>81</v>
      </c>
      <c r="K4" s="327"/>
      <c r="L4" s="2"/>
      <c r="M4" s="330" t="s">
        <v>82</v>
      </c>
      <c r="N4" s="331"/>
    </row>
    <row r="5" spans="1:14" ht="11.25">
      <c r="A5" s="20"/>
      <c r="B5" s="2"/>
      <c r="C5" s="2"/>
      <c r="D5" s="2"/>
      <c r="E5" s="2"/>
      <c r="F5" s="16" t="s">
        <v>16</v>
      </c>
      <c r="G5" s="321" t="s">
        <v>99</v>
      </c>
      <c r="H5" s="322"/>
      <c r="I5" s="2"/>
      <c r="J5" s="28"/>
      <c r="K5" s="28"/>
      <c r="L5" s="28"/>
      <c r="M5" s="28"/>
      <c r="N5" s="33"/>
    </row>
    <row r="6" spans="1:14" ht="11.25">
      <c r="A6" s="20"/>
      <c r="B6" s="2"/>
      <c r="C6" s="2"/>
      <c r="D6" s="2"/>
      <c r="E6" s="2"/>
      <c r="F6" s="16" t="s">
        <v>17</v>
      </c>
      <c r="G6" s="323" t="s">
        <v>175</v>
      </c>
      <c r="H6" s="323"/>
      <c r="I6" s="2"/>
      <c r="J6" s="28"/>
      <c r="K6" s="28"/>
      <c r="L6" s="28"/>
      <c r="M6" s="28"/>
      <c r="N6" s="33"/>
    </row>
    <row r="7" spans="1:14" ht="11.25">
      <c r="A7" s="20"/>
      <c r="B7" s="2"/>
      <c r="C7" s="2"/>
      <c r="D7" s="2"/>
      <c r="E7" s="2"/>
      <c r="F7" s="16" t="s">
        <v>33</v>
      </c>
      <c r="G7" s="324" t="s">
        <v>149</v>
      </c>
      <c r="H7" s="325"/>
      <c r="I7" s="2"/>
      <c r="J7" s="28"/>
      <c r="K7" s="28"/>
      <c r="L7" s="28"/>
      <c r="M7" s="28"/>
      <c r="N7" s="33"/>
    </row>
    <row r="8" spans="1:14" ht="11.25">
      <c r="A8" s="20"/>
      <c r="B8" s="2"/>
      <c r="C8" s="2"/>
      <c r="D8" s="2"/>
      <c r="E8" s="2"/>
      <c r="F8" s="16" t="s">
        <v>18</v>
      </c>
      <c r="G8" s="326">
        <v>43927</v>
      </c>
      <c r="H8" s="327"/>
      <c r="I8" s="2"/>
      <c r="J8" s="28"/>
      <c r="K8" s="28"/>
      <c r="L8" s="28"/>
      <c r="M8" s="28"/>
      <c r="N8" s="33"/>
    </row>
    <row r="9" spans="1:14" ht="12.75">
      <c r="A9" s="21" t="s">
        <v>2</v>
      </c>
      <c r="B9" s="22"/>
      <c r="C9" s="4"/>
      <c r="D9" s="4"/>
      <c r="E9" s="3"/>
      <c r="F9" s="3"/>
      <c r="G9" s="319"/>
      <c r="H9" s="319"/>
      <c r="I9" s="3"/>
      <c r="J9" s="319"/>
      <c r="K9" s="319"/>
      <c r="L9" s="3"/>
      <c r="M9" s="319"/>
      <c r="N9" s="320"/>
    </row>
    <row r="10" spans="1:15" ht="12.75">
      <c r="A10" s="20"/>
      <c r="B10" s="22" t="s">
        <v>56</v>
      </c>
      <c r="C10" s="4"/>
      <c r="D10" s="4"/>
      <c r="E10" s="3"/>
      <c r="F10" s="29"/>
      <c r="G10" s="58"/>
      <c r="H10" s="58"/>
      <c r="I10" s="5"/>
      <c r="J10" s="58"/>
      <c r="K10" s="58"/>
      <c r="L10" s="5"/>
      <c r="M10" s="58"/>
      <c r="N10" s="59"/>
      <c r="O10" s="11"/>
    </row>
    <row r="11" spans="1:16" ht="11.25">
      <c r="A11" s="20"/>
      <c r="B11" s="22"/>
      <c r="C11" s="6"/>
      <c r="D11" s="6"/>
      <c r="E11" s="7"/>
      <c r="F11" s="30" t="s">
        <v>7</v>
      </c>
      <c r="G11" s="313">
        <v>2358</v>
      </c>
      <c r="H11" s="314"/>
      <c r="I11" s="5"/>
      <c r="J11" s="313">
        <v>1849</v>
      </c>
      <c r="K11" s="314"/>
      <c r="L11" s="5"/>
      <c r="M11" s="313">
        <v>1946</v>
      </c>
      <c r="N11" s="315"/>
      <c r="P11" s="10" t="s">
        <v>28</v>
      </c>
    </row>
    <row r="12" spans="1:16" ht="12.75">
      <c r="A12" s="20"/>
      <c r="B12" s="22"/>
      <c r="C12" s="4"/>
      <c r="D12" s="4"/>
      <c r="E12" s="3"/>
      <c r="F12" s="29" t="s">
        <v>5</v>
      </c>
      <c r="G12" s="316">
        <v>0.275</v>
      </c>
      <c r="H12" s="317"/>
      <c r="I12" s="5"/>
      <c r="J12" s="316">
        <v>-0.05</v>
      </c>
      <c r="K12" s="317"/>
      <c r="L12" s="5"/>
      <c r="M12" s="316">
        <v>0.018</v>
      </c>
      <c r="N12" s="318"/>
      <c r="O12" s="11"/>
      <c r="P12" s="10" t="s">
        <v>29</v>
      </c>
    </row>
    <row r="13" spans="1:16" ht="12.75">
      <c r="A13" s="20"/>
      <c r="B13" s="22"/>
      <c r="C13" s="4"/>
      <c r="D13" s="4"/>
      <c r="E13" s="3"/>
      <c r="F13" s="29" t="s">
        <v>53</v>
      </c>
      <c r="G13" s="313">
        <v>1</v>
      </c>
      <c r="H13" s="314"/>
      <c r="I13" s="5"/>
      <c r="J13" s="313">
        <v>1</v>
      </c>
      <c r="K13" s="314"/>
      <c r="L13" s="5"/>
      <c r="M13" s="313">
        <v>1</v>
      </c>
      <c r="N13" s="315"/>
      <c r="O13" s="11"/>
      <c r="P13" s="10" t="s">
        <v>71</v>
      </c>
    </row>
    <row r="14" spans="1:16" ht="12.75">
      <c r="A14" s="20"/>
      <c r="B14" s="22"/>
      <c r="C14" s="4"/>
      <c r="D14" s="4"/>
      <c r="E14" s="3"/>
      <c r="F14" s="29" t="s">
        <v>54</v>
      </c>
      <c r="G14" s="313">
        <v>52</v>
      </c>
      <c r="H14" s="314"/>
      <c r="I14" s="5"/>
      <c r="J14" s="313">
        <v>50</v>
      </c>
      <c r="K14" s="314"/>
      <c r="L14" s="5"/>
      <c r="M14" s="313">
        <v>41</v>
      </c>
      <c r="N14" s="315"/>
      <c r="O14" s="11"/>
      <c r="P14" s="10" t="s">
        <v>70</v>
      </c>
    </row>
    <row r="15" spans="1:16" ht="12.75">
      <c r="A15" s="20"/>
      <c r="B15" s="22"/>
      <c r="C15" s="4"/>
      <c r="D15" s="4"/>
      <c r="E15" s="3"/>
      <c r="F15" s="29" t="s">
        <v>55</v>
      </c>
      <c r="G15" s="313">
        <v>37</v>
      </c>
      <c r="H15" s="314"/>
      <c r="I15" s="5"/>
      <c r="J15" s="313">
        <v>43</v>
      </c>
      <c r="K15" s="314"/>
      <c r="L15" s="5"/>
      <c r="M15" s="313">
        <v>46</v>
      </c>
      <c r="N15" s="315"/>
      <c r="O15" s="11"/>
      <c r="P15" s="10" t="s">
        <v>69</v>
      </c>
    </row>
    <row r="16" spans="1:16" ht="12.75">
      <c r="A16" s="20"/>
      <c r="B16" s="22"/>
      <c r="C16" s="4"/>
      <c r="D16" s="4"/>
      <c r="E16" s="3"/>
      <c r="F16" s="29" t="s">
        <v>78</v>
      </c>
      <c r="G16" s="313">
        <v>11</v>
      </c>
      <c r="H16" s="314"/>
      <c r="I16" s="5"/>
      <c r="J16" s="313">
        <v>5</v>
      </c>
      <c r="K16" s="314"/>
      <c r="L16" s="5"/>
      <c r="M16" s="313">
        <v>8</v>
      </c>
      <c r="N16" s="315"/>
      <c r="O16" s="11"/>
      <c r="P16" s="10" t="s">
        <v>86</v>
      </c>
    </row>
    <row r="17" spans="1:15" ht="12.75">
      <c r="A17" s="20"/>
      <c r="B17" s="22" t="s">
        <v>57</v>
      </c>
      <c r="C17" s="4"/>
      <c r="D17" s="4"/>
      <c r="E17" s="3"/>
      <c r="F17" s="29"/>
      <c r="G17" s="58"/>
      <c r="H17" s="58"/>
      <c r="I17" s="5"/>
      <c r="J17" s="58"/>
      <c r="K17" s="58"/>
      <c r="L17" s="5"/>
      <c r="M17" s="58"/>
      <c r="N17" s="59"/>
      <c r="O17" s="11"/>
    </row>
    <row r="18" spans="1:16" ht="11.25">
      <c r="A18" s="20"/>
      <c r="B18" s="22"/>
      <c r="C18" s="6"/>
      <c r="D18" s="6"/>
      <c r="E18" s="7"/>
      <c r="F18" s="30" t="s">
        <v>7</v>
      </c>
      <c r="G18" s="313"/>
      <c r="H18" s="314"/>
      <c r="I18" s="5"/>
      <c r="J18" s="313"/>
      <c r="K18" s="314"/>
      <c r="L18" s="5"/>
      <c r="M18" s="313"/>
      <c r="N18" s="315"/>
      <c r="P18" s="10" t="s">
        <v>28</v>
      </c>
    </row>
    <row r="19" spans="1:16" ht="12.75">
      <c r="A19" s="20"/>
      <c r="B19" s="22"/>
      <c r="C19" s="4"/>
      <c r="D19" s="4"/>
      <c r="E19" s="3"/>
      <c r="F19" s="29" t="s">
        <v>5</v>
      </c>
      <c r="G19" s="316"/>
      <c r="H19" s="317"/>
      <c r="I19" s="5"/>
      <c r="J19" s="316"/>
      <c r="K19" s="317"/>
      <c r="L19" s="5"/>
      <c r="M19" s="316"/>
      <c r="N19" s="318"/>
      <c r="O19" s="11"/>
      <c r="P19" s="10" t="s">
        <v>29</v>
      </c>
    </row>
    <row r="20" spans="1:16" ht="12.75">
      <c r="A20" s="20"/>
      <c r="B20" s="22"/>
      <c r="C20" s="4"/>
      <c r="D20" s="4"/>
      <c r="E20" s="3"/>
      <c r="F20" s="29" t="s">
        <v>58</v>
      </c>
      <c r="G20" s="313"/>
      <c r="H20" s="314"/>
      <c r="I20" s="5"/>
      <c r="J20" s="313"/>
      <c r="K20" s="314"/>
      <c r="L20" s="5"/>
      <c r="M20" s="313"/>
      <c r="N20" s="315"/>
      <c r="O20" s="11"/>
      <c r="P20" s="10" t="s">
        <v>71</v>
      </c>
    </row>
    <row r="21" spans="1:16" ht="12.75">
      <c r="A21" s="20"/>
      <c r="B21" s="22"/>
      <c r="C21" s="4"/>
      <c r="D21" s="4"/>
      <c r="E21" s="3"/>
      <c r="F21" s="29" t="s">
        <v>59</v>
      </c>
      <c r="G21" s="313"/>
      <c r="H21" s="314"/>
      <c r="I21" s="5"/>
      <c r="J21" s="313"/>
      <c r="K21" s="314"/>
      <c r="L21" s="5"/>
      <c r="M21" s="313"/>
      <c r="N21" s="315"/>
      <c r="O21" s="11"/>
      <c r="P21" s="10" t="s">
        <v>83</v>
      </c>
    </row>
    <row r="22" spans="1:16" ht="12.75">
      <c r="A22" s="20"/>
      <c r="B22" s="22"/>
      <c r="C22" s="4"/>
      <c r="D22" s="4"/>
      <c r="E22" s="3"/>
      <c r="F22" s="29" t="s">
        <v>78</v>
      </c>
      <c r="G22" s="313"/>
      <c r="H22" s="314"/>
      <c r="I22" s="5"/>
      <c r="J22" s="313"/>
      <c r="K22" s="314"/>
      <c r="L22" s="5"/>
      <c r="M22" s="313"/>
      <c r="N22" s="315"/>
      <c r="O22" s="11"/>
      <c r="P22" s="10" t="s">
        <v>86</v>
      </c>
    </row>
    <row r="23" spans="1:14" ht="11.25">
      <c r="A23" s="20"/>
      <c r="B23" s="4" t="s">
        <v>6</v>
      </c>
      <c r="C23" s="4"/>
      <c r="D23" s="4"/>
      <c r="E23" s="3"/>
      <c r="F23" s="3"/>
      <c r="G23" s="23"/>
      <c r="H23" s="23"/>
      <c r="I23" s="5"/>
      <c r="J23" s="23"/>
      <c r="K23" s="23"/>
      <c r="L23" s="5"/>
      <c r="M23" s="23"/>
      <c r="N23" s="24"/>
    </row>
    <row r="24" spans="1:16" ht="11.25">
      <c r="A24" s="20"/>
      <c r="B24" s="22"/>
      <c r="C24" s="4"/>
      <c r="D24" s="4"/>
      <c r="E24" s="3"/>
      <c r="F24" s="29" t="s">
        <v>20</v>
      </c>
      <c r="G24" s="293">
        <v>0.327</v>
      </c>
      <c r="H24" s="294"/>
      <c r="I24" s="3"/>
      <c r="J24" s="293">
        <v>0.389</v>
      </c>
      <c r="K24" s="294"/>
      <c r="L24" s="3"/>
      <c r="M24" s="293">
        <v>0.404</v>
      </c>
      <c r="N24" s="295"/>
      <c r="P24" s="10" t="s">
        <v>30</v>
      </c>
    </row>
    <row r="25" spans="1:16" ht="11.25">
      <c r="A25" s="20"/>
      <c r="B25" s="22"/>
      <c r="C25" s="4"/>
      <c r="D25" s="4"/>
      <c r="E25" s="3"/>
      <c r="F25" s="29" t="s">
        <v>21</v>
      </c>
      <c r="G25" s="293">
        <v>0.673</v>
      </c>
      <c r="H25" s="294"/>
      <c r="I25" s="3"/>
      <c r="J25" s="293">
        <v>0.611</v>
      </c>
      <c r="K25" s="294"/>
      <c r="L25" s="3"/>
      <c r="M25" s="293">
        <v>0.596</v>
      </c>
      <c r="N25" s="295"/>
      <c r="P25" s="10" t="s">
        <v>31</v>
      </c>
    </row>
    <row r="26" spans="1:14" ht="11.25">
      <c r="A26" s="62" t="s">
        <v>60</v>
      </c>
      <c r="B26" s="22"/>
      <c r="C26" s="4"/>
      <c r="D26" s="4"/>
      <c r="E26" s="3"/>
      <c r="F26" s="29"/>
      <c r="G26" s="60"/>
      <c r="H26" s="60"/>
      <c r="I26" s="5"/>
      <c r="J26" s="60"/>
      <c r="K26" s="60"/>
      <c r="L26" s="5"/>
      <c r="M26" s="60"/>
      <c r="N26" s="61"/>
    </row>
    <row r="27" spans="1:16" ht="11.25">
      <c r="A27" s="20"/>
      <c r="B27" s="22"/>
      <c r="C27" s="4"/>
      <c r="D27" s="4"/>
      <c r="E27" s="3"/>
      <c r="F27" s="29" t="s">
        <v>61</v>
      </c>
      <c r="G27" s="313">
        <v>274148.91</v>
      </c>
      <c r="H27" s="314"/>
      <c r="I27" s="5"/>
      <c r="J27" s="313">
        <v>259752.4</v>
      </c>
      <c r="K27" s="314"/>
      <c r="L27" s="5"/>
      <c r="M27" s="313">
        <f>216565.02+7500+11249.96</f>
        <v>235314.97999999998</v>
      </c>
      <c r="N27" s="315"/>
      <c r="P27" s="10" t="s">
        <v>91</v>
      </c>
    </row>
    <row r="28" spans="1:16" ht="11.25">
      <c r="A28" s="20"/>
      <c r="B28" s="22"/>
      <c r="C28" s="4"/>
      <c r="D28" s="4"/>
      <c r="E28" s="3"/>
      <c r="F28" s="29" t="s">
        <v>62</v>
      </c>
      <c r="G28" s="313">
        <v>0</v>
      </c>
      <c r="H28" s="314"/>
      <c r="I28" s="5"/>
      <c r="J28" s="313">
        <v>0</v>
      </c>
      <c r="K28" s="314"/>
      <c r="L28" s="5"/>
      <c r="M28" s="313">
        <v>0</v>
      </c>
      <c r="N28" s="315"/>
      <c r="P28" s="10" t="s">
        <v>91</v>
      </c>
    </row>
    <row r="29" spans="1:16" ht="11.25">
      <c r="A29" s="20"/>
      <c r="B29" s="22"/>
      <c r="C29" s="4"/>
      <c r="D29" s="4"/>
      <c r="E29" s="3"/>
      <c r="F29" s="29" t="s">
        <v>63</v>
      </c>
      <c r="G29" s="310">
        <v>96683.25</v>
      </c>
      <c r="H29" s="311"/>
      <c r="I29" s="5"/>
      <c r="J29" s="310">
        <v>88123.52</v>
      </c>
      <c r="K29" s="311"/>
      <c r="L29" s="5"/>
      <c r="M29" s="310">
        <v>78350.99</v>
      </c>
      <c r="N29" s="312"/>
      <c r="P29" s="10" t="s">
        <v>90</v>
      </c>
    </row>
    <row r="30" spans="1:14" ht="11.25">
      <c r="A30" s="20"/>
      <c r="B30" s="22"/>
      <c r="C30" s="4"/>
      <c r="D30" s="4"/>
      <c r="E30" s="3"/>
      <c r="F30" s="29"/>
      <c r="G30" s="73"/>
      <c r="H30" s="74"/>
      <c r="I30" s="5"/>
      <c r="J30" s="73"/>
      <c r="K30" s="74"/>
      <c r="L30" s="5"/>
      <c r="M30" s="73"/>
      <c r="N30" s="75"/>
    </row>
    <row r="31" spans="1:18" ht="11.25">
      <c r="A31" s="20"/>
      <c r="B31" s="4"/>
      <c r="C31" s="4"/>
      <c r="D31" s="4"/>
      <c r="E31" s="3"/>
      <c r="F31" s="63" t="s">
        <v>64</v>
      </c>
      <c r="G31" s="299">
        <f>SUM(G27:H29)/(G11+G18)</f>
        <v>157.26554707379134</v>
      </c>
      <c r="H31" s="300"/>
      <c r="I31" s="22"/>
      <c r="J31" s="299">
        <f>SUM(J27:K29)/(J11+J18)</f>
        <v>188.14273661438614</v>
      </c>
      <c r="K31" s="300"/>
      <c r="L31" s="22"/>
      <c r="M31" s="299">
        <f>SUM(M27:N29)/(M11+M18)</f>
        <v>161.18497944501541</v>
      </c>
      <c r="N31" s="301"/>
      <c r="O31"/>
      <c r="P31" t="s">
        <v>32</v>
      </c>
      <c r="Q31"/>
      <c r="R31"/>
    </row>
    <row r="32" spans="1:14" ht="11.25">
      <c r="A32" s="21" t="s">
        <v>3</v>
      </c>
      <c r="B32" s="22"/>
      <c r="C32" s="4"/>
      <c r="D32" s="4"/>
      <c r="E32" s="3"/>
      <c r="F32" s="3"/>
      <c r="G32" s="8"/>
      <c r="H32" s="8"/>
      <c r="I32" s="3"/>
      <c r="J32" s="8"/>
      <c r="K32" s="8"/>
      <c r="L32" s="3"/>
      <c r="M32" s="8"/>
      <c r="N32" s="25"/>
    </row>
    <row r="33" spans="1:22" ht="11.25">
      <c r="A33" s="20"/>
      <c r="B33" s="22"/>
      <c r="C33" s="4"/>
      <c r="D33" s="48"/>
      <c r="E33" s="49"/>
      <c r="F33" s="50" t="s">
        <v>43</v>
      </c>
      <c r="G33" s="302">
        <v>0.7</v>
      </c>
      <c r="H33" s="303"/>
      <c r="I33" s="56"/>
      <c r="J33" s="302">
        <v>0.5</v>
      </c>
      <c r="K33" s="303"/>
      <c r="L33" s="56"/>
      <c r="M33" s="302">
        <v>0.8</v>
      </c>
      <c r="N33" s="304"/>
      <c r="O33"/>
      <c r="P33" s="46" t="s">
        <v>47</v>
      </c>
      <c r="Q33" s="47"/>
      <c r="R33" s="47"/>
      <c r="S33" s="46"/>
      <c r="T33" s="46"/>
      <c r="U33" s="46"/>
      <c r="V33" s="46"/>
    </row>
    <row r="34" spans="1:22" ht="11.25">
      <c r="A34" s="20"/>
      <c r="B34" s="22"/>
      <c r="C34" s="4"/>
      <c r="D34" s="48"/>
      <c r="E34" s="49"/>
      <c r="F34" s="50" t="s">
        <v>44</v>
      </c>
      <c r="G34" s="302">
        <v>3.1</v>
      </c>
      <c r="H34" s="303"/>
      <c r="I34" s="56"/>
      <c r="J34" s="302">
        <v>2.9</v>
      </c>
      <c r="K34" s="303"/>
      <c r="L34" s="56"/>
      <c r="M34" s="302">
        <v>2.5</v>
      </c>
      <c r="N34" s="304"/>
      <c r="O34"/>
      <c r="P34" s="46" t="s">
        <v>48</v>
      </c>
      <c r="Q34" s="47"/>
      <c r="R34" s="47"/>
      <c r="S34" s="46"/>
      <c r="T34" s="46"/>
      <c r="U34" s="46"/>
      <c r="V34" s="46"/>
    </row>
    <row r="35" spans="1:22" ht="11.25">
      <c r="A35" s="20"/>
      <c r="B35" s="22"/>
      <c r="C35" s="4"/>
      <c r="D35" s="48"/>
      <c r="E35" s="49"/>
      <c r="F35" s="50" t="s">
        <v>45</v>
      </c>
      <c r="G35" s="307"/>
      <c r="H35" s="308"/>
      <c r="I35" s="56"/>
      <c r="J35" s="307"/>
      <c r="K35" s="308"/>
      <c r="L35" s="56"/>
      <c r="M35" s="307">
        <v>0.3</v>
      </c>
      <c r="N35" s="309"/>
      <c r="O35"/>
      <c r="P35" s="46" t="s">
        <v>50</v>
      </c>
      <c r="Q35" s="47"/>
      <c r="R35" s="47"/>
      <c r="S35" s="46"/>
      <c r="T35" s="46"/>
      <c r="U35" s="46"/>
      <c r="V35" s="46"/>
    </row>
    <row r="36" spans="1:22" ht="11.25">
      <c r="A36" s="20"/>
      <c r="B36" s="22"/>
      <c r="C36" s="4"/>
      <c r="D36" s="48"/>
      <c r="E36" s="49"/>
      <c r="F36" s="50" t="s">
        <v>46</v>
      </c>
      <c r="G36" s="305"/>
      <c r="H36" s="305"/>
      <c r="I36" s="56"/>
      <c r="J36" s="305"/>
      <c r="K36" s="305"/>
      <c r="L36" s="56"/>
      <c r="M36" s="305"/>
      <c r="N36" s="306"/>
      <c r="O36"/>
      <c r="P36" s="46" t="s">
        <v>49</v>
      </c>
      <c r="Q36" s="47"/>
      <c r="R36" s="47"/>
      <c r="S36" s="46"/>
      <c r="T36" s="46"/>
      <c r="U36" s="46"/>
      <c r="V36" s="46"/>
    </row>
    <row r="37" spans="1:18" s="69" customFormat="1" ht="11.25">
      <c r="A37" s="64"/>
      <c r="B37" s="65"/>
      <c r="C37" s="66"/>
      <c r="D37" s="66"/>
      <c r="E37" s="5"/>
      <c r="F37" s="67"/>
      <c r="G37" s="70"/>
      <c r="H37" s="70"/>
      <c r="I37" s="68"/>
      <c r="J37" s="70"/>
      <c r="K37" s="70"/>
      <c r="L37" s="68"/>
      <c r="M37" s="70"/>
      <c r="N37" s="71"/>
      <c r="O37" s="12"/>
      <c r="Q37" s="12"/>
      <c r="R37" s="12"/>
    </row>
    <row r="38" spans="1:22" ht="11.25">
      <c r="A38" s="20"/>
      <c r="B38" s="22"/>
      <c r="C38" s="4"/>
      <c r="D38" s="48"/>
      <c r="E38" s="49"/>
      <c r="F38" s="50" t="s">
        <v>66</v>
      </c>
      <c r="G38" s="305">
        <v>301</v>
      </c>
      <c r="H38" s="305"/>
      <c r="I38" s="56"/>
      <c r="J38" s="305">
        <v>219</v>
      </c>
      <c r="K38" s="305"/>
      <c r="L38" s="56"/>
      <c r="M38" s="305">
        <v>364</v>
      </c>
      <c r="N38" s="306"/>
      <c r="O38"/>
      <c r="P38" s="46" t="s">
        <v>72</v>
      </c>
      <c r="Q38" s="47"/>
      <c r="R38" s="47"/>
      <c r="S38" s="46"/>
      <c r="T38" s="46"/>
      <c r="U38" s="46"/>
      <c r="V38" s="46"/>
    </row>
    <row r="39" spans="1:22" ht="11.25">
      <c r="A39" s="20"/>
      <c r="B39" s="22"/>
      <c r="C39" s="4"/>
      <c r="D39" s="48"/>
      <c r="E39" s="49"/>
      <c r="F39" s="50" t="s">
        <v>65</v>
      </c>
      <c r="G39" s="299">
        <v>2057</v>
      </c>
      <c r="H39" s="300"/>
      <c r="I39" s="56"/>
      <c r="J39" s="299">
        <v>1630</v>
      </c>
      <c r="K39" s="300"/>
      <c r="L39" s="56"/>
      <c r="M39" s="299">
        <v>1500</v>
      </c>
      <c r="N39" s="301"/>
      <c r="O39"/>
      <c r="P39" s="46" t="s">
        <v>73</v>
      </c>
      <c r="Q39" s="47"/>
      <c r="R39" s="47"/>
      <c r="S39" s="46"/>
      <c r="T39" s="46"/>
      <c r="U39" s="46"/>
      <c r="V39" s="46"/>
    </row>
    <row r="40" spans="1:22" ht="11.25">
      <c r="A40" s="20"/>
      <c r="B40" s="22"/>
      <c r="C40" s="4"/>
      <c r="D40" s="48"/>
      <c r="E40" s="49"/>
      <c r="F40" s="50" t="s">
        <v>67</v>
      </c>
      <c r="G40" s="302"/>
      <c r="H40" s="303"/>
      <c r="I40" s="56"/>
      <c r="J40" s="302"/>
      <c r="K40" s="303"/>
      <c r="L40" s="56"/>
      <c r="M40" s="302">
        <v>82</v>
      </c>
      <c r="N40" s="304"/>
      <c r="O40"/>
      <c r="P40" s="46" t="s">
        <v>75</v>
      </c>
      <c r="Q40" s="47"/>
      <c r="R40" s="47"/>
      <c r="S40" s="46"/>
      <c r="T40" s="46"/>
      <c r="U40" s="46"/>
      <c r="V40" s="46"/>
    </row>
    <row r="41" spans="1:22" ht="11.25">
      <c r="A41" s="20"/>
      <c r="B41" s="22"/>
      <c r="C41" s="4"/>
      <c r="D41" s="48"/>
      <c r="E41" s="49"/>
      <c r="F41" s="50" t="s">
        <v>68</v>
      </c>
      <c r="G41" s="302"/>
      <c r="H41" s="303"/>
      <c r="I41" s="56"/>
      <c r="J41" s="302"/>
      <c r="K41" s="303"/>
      <c r="L41" s="56"/>
      <c r="M41" s="302"/>
      <c r="N41" s="304"/>
      <c r="O41"/>
      <c r="P41" s="46" t="s">
        <v>74</v>
      </c>
      <c r="Q41" s="47"/>
      <c r="R41" s="47"/>
      <c r="S41" s="46"/>
      <c r="T41" s="46"/>
      <c r="U41" s="46"/>
      <c r="V41" s="46"/>
    </row>
    <row r="42" spans="1:18" ht="11.25">
      <c r="A42" s="20"/>
      <c r="B42" s="4"/>
      <c r="C42" s="4"/>
      <c r="D42" s="4"/>
      <c r="E42" s="3"/>
      <c r="F42" s="3"/>
      <c r="G42" s="9"/>
      <c r="H42" s="9"/>
      <c r="I42" s="22"/>
      <c r="J42" s="9"/>
      <c r="K42" s="9"/>
      <c r="L42" s="22"/>
      <c r="M42" s="9"/>
      <c r="N42" s="26"/>
      <c r="O42"/>
      <c r="P42"/>
      <c r="Q42"/>
      <c r="R42"/>
    </row>
    <row r="43" spans="1:18" ht="11.25">
      <c r="A43" s="20"/>
      <c r="B43" s="22"/>
      <c r="C43" s="4"/>
      <c r="D43" s="4"/>
      <c r="E43" s="3"/>
      <c r="F43" s="29" t="s">
        <v>22</v>
      </c>
      <c r="G43" s="302">
        <f>+(G11+G18)/(G33+G34)</f>
        <v>620.5263157894738</v>
      </c>
      <c r="H43" s="303"/>
      <c r="I43" s="22"/>
      <c r="J43" s="302">
        <f>+(J11+J18)/(J33+J34)</f>
        <v>543.8235294117648</v>
      </c>
      <c r="K43" s="303"/>
      <c r="L43" s="22"/>
      <c r="M43" s="302">
        <f>+(M11+M18)/(M33+M34)</f>
        <v>589.6969696969697</v>
      </c>
      <c r="N43" s="303"/>
      <c r="O43"/>
      <c r="P43" t="s">
        <v>32</v>
      </c>
      <c r="Q43"/>
      <c r="R43"/>
    </row>
    <row r="44" spans="1:18" ht="11.25">
      <c r="A44" s="20"/>
      <c r="B44" s="22"/>
      <c r="C44" s="4"/>
      <c r="D44" s="4"/>
      <c r="E44" s="3"/>
      <c r="F44" s="29" t="s">
        <v>216</v>
      </c>
      <c r="G44" s="332">
        <f>(G11+G18)/SUM(G33:H36)</f>
        <v>620.5263157894738</v>
      </c>
      <c r="H44" s="332"/>
      <c r="I44" s="22"/>
      <c r="J44" s="332">
        <f>(J11+J18)/SUM(J33:K36)</f>
        <v>543.8235294117648</v>
      </c>
      <c r="K44" s="332"/>
      <c r="L44" s="22"/>
      <c r="M44" s="332">
        <f>(M11+M18)/SUM(M33:N36)</f>
        <v>540.5555555555557</v>
      </c>
      <c r="N44" s="332"/>
      <c r="O44"/>
      <c r="P44"/>
      <c r="Q44"/>
      <c r="R44"/>
    </row>
    <row r="45" spans="1:17" ht="11.25">
      <c r="A45" s="20"/>
      <c r="B45" s="4"/>
      <c r="C45" s="4"/>
      <c r="D45" s="4"/>
      <c r="E45" s="3"/>
      <c r="F45" s="3"/>
      <c r="G45" s="34" t="s">
        <v>24</v>
      </c>
      <c r="H45" s="34" t="s">
        <v>23</v>
      </c>
      <c r="I45" s="28"/>
      <c r="J45" s="34" t="s">
        <v>24</v>
      </c>
      <c r="K45" s="34" t="s">
        <v>23</v>
      </c>
      <c r="L45" s="28"/>
      <c r="M45" s="34" t="s">
        <v>24</v>
      </c>
      <c r="N45" s="35" t="s">
        <v>23</v>
      </c>
      <c r="O45" s="14"/>
      <c r="P45" s="13"/>
      <c r="Q45" s="31"/>
    </row>
    <row r="46" spans="1:22" ht="11.25">
      <c r="A46" s="20"/>
      <c r="B46" s="4"/>
      <c r="C46" s="4"/>
      <c r="D46" s="52"/>
      <c r="E46" s="53"/>
      <c r="F46" s="54" t="s">
        <v>25</v>
      </c>
      <c r="G46" s="76">
        <v>1</v>
      </c>
      <c r="H46" s="32">
        <f>G46/SUM($G$46:$G$49)</f>
        <v>0.2</v>
      </c>
      <c r="I46" s="28"/>
      <c r="J46" s="76">
        <v>1</v>
      </c>
      <c r="K46" s="32">
        <f>J46/SUM($J$46:$J$49)</f>
        <v>0.2</v>
      </c>
      <c r="L46" s="28"/>
      <c r="M46" s="76">
        <v>1</v>
      </c>
      <c r="N46" s="36">
        <f>M46/SUM($M$46:$M$49)</f>
        <v>0.25</v>
      </c>
      <c r="O46" s="14"/>
      <c r="P46" s="55" t="s">
        <v>84</v>
      </c>
      <c r="Q46" s="51"/>
      <c r="R46" s="55"/>
      <c r="S46" s="55"/>
      <c r="T46" s="55"/>
      <c r="U46" s="55"/>
      <c r="V46" s="55"/>
    </row>
    <row r="47" spans="1:22" ht="11.25">
      <c r="A47" s="20"/>
      <c r="B47" s="4"/>
      <c r="C47" s="4"/>
      <c r="D47" s="52"/>
      <c r="E47" s="53"/>
      <c r="F47" s="54" t="s">
        <v>13</v>
      </c>
      <c r="G47" s="76">
        <v>4</v>
      </c>
      <c r="H47" s="32">
        <f aca="true" t="shared" si="0" ref="H47:H49">G47/SUM($G$46:$G$49)</f>
        <v>0.8</v>
      </c>
      <c r="I47" s="28"/>
      <c r="J47" s="76">
        <v>4</v>
      </c>
      <c r="K47" s="32">
        <f aca="true" t="shared" si="1" ref="K47:K49">J47/SUM($J$46:$J$49)</f>
        <v>0.8</v>
      </c>
      <c r="L47" s="28"/>
      <c r="M47" s="76">
        <v>3</v>
      </c>
      <c r="N47" s="36">
        <f aca="true" t="shared" si="2" ref="N47:N49">M47/SUM($M$46:$M$49)</f>
        <v>0.75</v>
      </c>
      <c r="O47" s="14"/>
      <c r="P47" s="55" t="s">
        <v>84</v>
      </c>
      <c r="Q47" s="51"/>
      <c r="R47" s="55"/>
      <c r="S47" s="55"/>
      <c r="T47" s="55"/>
      <c r="U47" s="55"/>
      <c r="V47" s="55"/>
    </row>
    <row r="48" spans="1:22" ht="11.25">
      <c r="A48" s="20"/>
      <c r="B48" s="4"/>
      <c r="C48" s="4"/>
      <c r="D48" s="52"/>
      <c r="E48" s="53"/>
      <c r="F48" s="54" t="s">
        <v>51</v>
      </c>
      <c r="G48" s="76"/>
      <c r="H48" s="32">
        <f t="shared" si="0"/>
        <v>0</v>
      </c>
      <c r="I48" s="28"/>
      <c r="J48" s="76"/>
      <c r="K48" s="32">
        <f t="shared" si="1"/>
        <v>0</v>
      </c>
      <c r="L48" s="28"/>
      <c r="M48" s="76"/>
      <c r="N48" s="36">
        <f t="shared" si="2"/>
        <v>0</v>
      </c>
      <c r="O48" s="14"/>
      <c r="P48" s="55" t="s">
        <v>85</v>
      </c>
      <c r="Q48" s="51"/>
      <c r="R48" s="55"/>
      <c r="S48" s="55"/>
      <c r="T48" s="55"/>
      <c r="U48" s="55"/>
      <c r="V48" s="55"/>
    </row>
    <row r="49" spans="1:22" ht="11.25">
      <c r="A49" s="20"/>
      <c r="B49" s="4"/>
      <c r="C49" s="4"/>
      <c r="D49" s="52"/>
      <c r="E49" s="53"/>
      <c r="F49" s="54" t="s">
        <v>52</v>
      </c>
      <c r="G49" s="76"/>
      <c r="H49" s="32">
        <f t="shared" si="0"/>
        <v>0</v>
      </c>
      <c r="I49" s="28"/>
      <c r="J49" s="76"/>
      <c r="K49" s="32">
        <f t="shared" si="1"/>
        <v>0</v>
      </c>
      <c r="L49" s="28"/>
      <c r="M49" s="76"/>
      <c r="N49" s="36">
        <f t="shared" si="2"/>
        <v>0</v>
      </c>
      <c r="O49" s="14"/>
      <c r="P49" s="55" t="s">
        <v>85</v>
      </c>
      <c r="Q49" s="51"/>
      <c r="R49" s="55"/>
      <c r="S49" s="55"/>
      <c r="T49" s="55"/>
      <c r="U49" s="55"/>
      <c r="V49" s="55"/>
    </row>
    <row r="50" spans="1:14" ht="11.25">
      <c r="A50" s="21" t="s">
        <v>4</v>
      </c>
      <c r="B50" s="22"/>
      <c r="C50" s="4"/>
      <c r="D50" s="4"/>
      <c r="E50" s="3"/>
      <c r="F50" s="3"/>
      <c r="G50" s="8"/>
      <c r="H50" s="8"/>
      <c r="I50" s="3"/>
      <c r="J50" s="8"/>
      <c r="K50" s="8"/>
      <c r="L50" s="3"/>
      <c r="M50" s="8"/>
      <c r="N50" s="25"/>
    </row>
    <row r="51" spans="1:16" ht="11.25">
      <c r="A51" s="21"/>
      <c r="B51" s="22"/>
      <c r="C51" s="4"/>
      <c r="D51" s="4"/>
      <c r="E51" s="3"/>
      <c r="F51" s="63" t="s">
        <v>77</v>
      </c>
      <c r="G51" s="293">
        <v>0.955</v>
      </c>
      <c r="H51" s="294"/>
      <c r="I51" s="72"/>
      <c r="J51" s="293">
        <v>0.889</v>
      </c>
      <c r="K51" s="294"/>
      <c r="L51" s="72"/>
      <c r="M51" s="293">
        <v>0.938</v>
      </c>
      <c r="N51" s="295"/>
      <c r="P51" s="10" t="s">
        <v>87</v>
      </c>
    </row>
    <row r="52" spans="1:16" ht="11.25">
      <c r="A52" s="21"/>
      <c r="B52" s="22"/>
      <c r="C52" s="4"/>
      <c r="D52" s="4"/>
      <c r="E52" s="3"/>
      <c r="F52" s="63" t="s">
        <v>76</v>
      </c>
      <c r="G52" s="293">
        <v>0.119</v>
      </c>
      <c r="H52" s="294"/>
      <c r="I52" s="72"/>
      <c r="J52" s="293">
        <v>0.16</v>
      </c>
      <c r="K52" s="294"/>
      <c r="L52" s="72"/>
      <c r="M52" s="293">
        <v>0.098</v>
      </c>
      <c r="N52" s="295"/>
      <c r="P52" s="10" t="s">
        <v>79</v>
      </c>
    </row>
    <row r="53" spans="1:16" ht="10.65" customHeight="1">
      <c r="A53" s="20"/>
      <c r="B53" s="23"/>
      <c r="C53" s="4"/>
      <c r="D53" s="4"/>
      <c r="E53" s="3"/>
      <c r="F53" s="29" t="s">
        <v>10</v>
      </c>
      <c r="G53" s="296">
        <v>5</v>
      </c>
      <c r="H53" s="297"/>
      <c r="I53" s="3"/>
      <c r="J53" s="296"/>
      <c r="K53" s="297"/>
      <c r="L53" s="3"/>
      <c r="M53" s="296">
        <v>3</v>
      </c>
      <c r="N53" s="298"/>
      <c r="P53" s="10" t="s">
        <v>34</v>
      </c>
    </row>
    <row r="54" spans="1:16" ht="11.25">
      <c r="A54" s="20"/>
      <c r="B54" s="23"/>
      <c r="C54" s="4"/>
      <c r="D54" s="4"/>
      <c r="E54" s="3"/>
      <c r="F54" s="29" t="s">
        <v>8</v>
      </c>
      <c r="G54" s="296">
        <v>14</v>
      </c>
      <c r="H54" s="297"/>
      <c r="I54" s="14"/>
      <c r="J54" s="296">
        <v>12</v>
      </c>
      <c r="K54" s="297"/>
      <c r="L54" s="14"/>
      <c r="M54" s="296">
        <v>11</v>
      </c>
      <c r="N54" s="298"/>
      <c r="P54" s="10" t="s">
        <v>36</v>
      </c>
    </row>
    <row r="55" spans="1:16" ht="11.25">
      <c r="A55" s="20"/>
      <c r="B55" s="23"/>
      <c r="C55" s="4"/>
      <c r="D55" s="4"/>
      <c r="E55" s="3"/>
      <c r="F55" s="42" t="s">
        <v>11</v>
      </c>
      <c r="G55" s="296">
        <v>11.5</v>
      </c>
      <c r="H55" s="297"/>
      <c r="I55" s="3"/>
      <c r="J55" s="296">
        <v>12.6</v>
      </c>
      <c r="K55" s="297"/>
      <c r="L55" s="3"/>
      <c r="M55" s="296">
        <v>11.5</v>
      </c>
      <c r="N55" s="298"/>
      <c r="P55" s="10" t="s">
        <v>42</v>
      </c>
    </row>
    <row r="56" spans="1:19" ht="11.25">
      <c r="A56" s="20"/>
      <c r="B56" s="22"/>
      <c r="C56" s="4"/>
      <c r="D56" s="4"/>
      <c r="E56" s="3"/>
      <c r="F56" s="29" t="s">
        <v>9</v>
      </c>
      <c r="G56" s="293">
        <v>0.76</v>
      </c>
      <c r="H56" s="294"/>
      <c r="I56" s="3"/>
      <c r="J56" s="293">
        <v>0.56</v>
      </c>
      <c r="K56" s="294"/>
      <c r="L56" s="3"/>
      <c r="M56" s="293">
        <v>0.61</v>
      </c>
      <c r="N56" s="295"/>
      <c r="P56" s="10" t="s">
        <v>37</v>
      </c>
      <c r="Q56"/>
      <c r="R56"/>
      <c r="S56"/>
    </row>
    <row r="57" spans="1:19" ht="11.25">
      <c r="A57" s="20"/>
      <c r="B57" s="22"/>
      <c r="C57" s="4"/>
      <c r="D57" s="4"/>
      <c r="E57" s="27"/>
      <c r="F57" s="29" t="s">
        <v>12</v>
      </c>
      <c r="G57" s="296">
        <v>0</v>
      </c>
      <c r="H57" s="297"/>
      <c r="I57" s="28"/>
      <c r="J57" s="296">
        <v>2</v>
      </c>
      <c r="K57" s="297"/>
      <c r="L57" s="28"/>
      <c r="M57" s="296">
        <v>4</v>
      </c>
      <c r="N57" s="298"/>
      <c r="P57" s="10" t="s">
        <v>38</v>
      </c>
      <c r="Q57"/>
      <c r="R57"/>
      <c r="S57"/>
    </row>
    <row r="58" spans="1:19" ht="11.25">
      <c r="A58" s="20"/>
      <c r="B58" s="22"/>
      <c r="C58" s="4"/>
      <c r="D58" s="4"/>
      <c r="E58" s="3"/>
      <c r="F58" s="29" t="s">
        <v>19</v>
      </c>
      <c r="G58" s="293">
        <v>0.147</v>
      </c>
      <c r="H58" s="294"/>
      <c r="I58" s="28"/>
      <c r="J58" s="293">
        <v>0.419</v>
      </c>
      <c r="K58" s="294"/>
      <c r="L58" s="28"/>
      <c r="M58" s="293">
        <v>0.353</v>
      </c>
      <c r="N58" s="295"/>
      <c r="P58" s="10" t="s">
        <v>39</v>
      </c>
      <c r="Q58"/>
      <c r="R58"/>
      <c r="S58"/>
    </row>
    <row r="59" spans="1:19" ht="11.25">
      <c r="A59" s="20"/>
      <c r="B59" s="22"/>
      <c r="C59" s="4"/>
      <c r="D59" s="4"/>
      <c r="E59" s="3"/>
      <c r="F59" s="29" t="s">
        <v>0</v>
      </c>
      <c r="G59" s="293">
        <v>0.124</v>
      </c>
      <c r="H59" s="294"/>
      <c r="I59" s="28"/>
      <c r="J59" s="293">
        <v>0.057</v>
      </c>
      <c r="K59" s="294"/>
      <c r="L59" s="28"/>
      <c r="M59" s="293">
        <v>0.057</v>
      </c>
      <c r="N59" s="295"/>
      <c r="P59" s="10" t="s">
        <v>40</v>
      </c>
      <c r="Q59"/>
      <c r="R59"/>
      <c r="S59"/>
    </row>
    <row r="60" spans="1:14" ht="11.25">
      <c r="A60" s="21" t="s">
        <v>1</v>
      </c>
      <c r="B60" s="28"/>
      <c r="C60" s="28"/>
      <c r="D60" s="28"/>
      <c r="E60" s="28"/>
      <c r="F60" s="28"/>
      <c r="G60" s="28"/>
      <c r="H60" s="28"/>
      <c r="I60" s="28"/>
      <c r="J60" s="28"/>
      <c r="K60" s="28"/>
      <c r="L60" s="28"/>
      <c r="M60" s="28"/>
      <c r="N60" s="33"/>
    </row>
    <row r="61" spans="1:16" ht="11.25">
      <c r="A61" s="37"/>
      <c r="B61" s="28"/>
      <c r="C61" s="28"/>
      <c r="D61" s="28"/>
      <c r="E61" s="28"/>
      <c r="F61" s="28"/>
      <c r="G61" s="28"/>
      <c r="H61" s="28"/>
      <c r="I61" s="28"/>
      <c r="J61" s="28"/>
      <c r="K61" s="28"/>
      <c r="L61" s="28"/>
      <c r="M61" s="28"/>
      <c r="N61" s="33"/>
      <c r="P61" t="s">
        <v>35</v>
      </c>
    </row>
    <row r="62" spans="1:14" ht="11.25">
      <c r="A62" s="38"/>
      <c r="B62" s="23"/>
      <c r="C62" s="23"/>
      <c r="D62" s="23"/>
      <c r="E62" s="23"/>
      <c r="F62" s="23"/>
      <c r="G62" s="23"/>
      <c r="H62" s="23"/>
      <c r="I62" s="23"/>
      <c r="J62" s="23"/>
      <c r="K62" s="23"/>
      <c r="L62" s="23"/>
      <c r="M62" s="23"/>
      <c r="N62" s="24"/>
    </row>
    <row r="63" spans="1:14" ht="11.25">
      <c r="A63" s="38"/>
      <c r="B63" s="23"/>
      <c r="C63" s="23"/>
      <c r="D63" s="23"/>
      <c r="E63" s="23"/>
      <c r="F63" s="23"/>
      <c r="G63" s="23"/>
      <c r="H63" s="23"/>
      <c r="I63" s="23"/>
      <c r="J63" s="23"/>
      <c r="K63" s="23"/>
      <c r="L63" s="23"/>
      <c r="M63" s="23"/>
      <c r="N63" s="24"/>
    </row>
    <row r="64" spans="1:16" ht="11.25">
      <c r="A64" s="38"/>
      <c r="B64" s="23"/>
      <c r="C64" s="23"/>
      <c r="D64" s="23"/>
      <c r="E64" s="23"/>
      <c r="F64" s="23"/>
      <c r="G64" s="23"/>
      <c r="H64" s="23"/>
      <c r="I64" s="23"/>
      <c r="J64" s="23"/>
      <c r="K64" s="23"/>
      <c r="L64" s="23"/>
      <c r="M64" s="23"/>
      <c r="N64" s="24"/>
      <c r="P64" s="44" t="s">
        <v>41</v>
      </c>
    </row>
    <row r="65" spans="1:14" ht="11.25">
      <c r="A65" s="38"/>
      <c r="B65" s="23"/>
      <c r="C65" s="23"/>
      <c r="D65" s="23"/>
      <c r="E65" s="23"/>
      <c r="F65" s="23"/>
      <c r="G65" s="23"/>
      <c r="H65" s="23"/>
      <c r="I65" s="23"/>
      <c r="J65" s="23"/>
      <c r="K65" s="23"/>
      <c r="L65" s="23"/>
      <c r="M65" s="23"/>
      <c r="N65" s="24"/>
    </row>
    <row r="66" spans="1:14" ht="12.75" thickBot="1">
      <c r="A66" s="39"/>
      <c r="B66" s="40"/>
      <c r="C66" s="40"/>
      <c r="D66" s="40"/>
      <c r="E66" s="40"/>
      <c r="F66" s="40"/>
      <c r="G66" s="40"/>
      <c r="H66" s="40"/>
      <c r="I66" s="40"/>
      <c r="J66" s="40"/>
      <c r="K66" s="40"/>
      <c r="L66" s="40"/>
      <c r="M66" s="40"/>
      <c r="N66" s="41"/>
    </row>
  </sheetData>
  <mergeCells count="122">
    <mergeCell ref="G5:H5"/>
    <mergeCell ref="G6:H6"/>
    <mergeCell ref="G7:H7"/>
    <mergeCell ref="G8:H8"/>
    <mergeCell ref="G9:H9"/>
    <mergeCell ref="J9:K9"/>
    <mergeCell ref="G2:N2"/>
    <mergeCell ref="G3:H3"/>
    <mergeCell ref="J3:K3"/>
    <mergeCell ref="M3:N3"/>
    <mergeCell ref="G4:H4"/>
    <mergeCell ref="J4:K4"/>
    <mergeCell ref="M4:N4"/>
    <mergeCell ref="G13:H13"/>
    <mergeCell ref="J13:K13"/>
    <mergeCell ref="M13:N13"/>
    <mergeCell ref="G14:H14"/>
    <mergeCell ref="J14:K14"/>
    <mergeCell ref="M14:N14"/>
    <mergeCell ref="M9:N9"/>
    <mergeCell ref="G11:H11"/>
    <mergeCell ref="J11:K11"/>
    <mergeCell ref="M11:N11"/>
    <mergeCell ref="G12:H12"/>
    <mergeCell ref="J12:K12"/>
    <mergeCell ref="M12:N12"/>
    <mergeCell ref="G18:H18"/>
    <mergeCell ref="J18:K18"/>
    <mergeCell ref="M18:N18"/>
    <mergeCell ref="G19:H19"/>
    <mergeCell ref="J19:K19"/>
    <mergeCell ref="M19:N19"/>
    <mergeCell ref="G15:H15"/>
    <mergeCell ref="J15:K15"/>
    <mergeCell ref="M15:N15"/>
    <mergeCell ref="G16:H16"/>
    <mergeCell ref="J16:K16"/>
    <mergeCell ref="M16:N16"/>
    <mergeCell ref="G22:H22"/>
    <mergeCell ref="J22:K22"/>
    <mergeCell ref="M22:N22"/>
    <mergeCell ref="G24:H24"/>
    <mergeCell ref="J24:K24"/>
    <mergeCell ref="M24:N24"/>
    <mergeCell ref="G20:H20"/>
    <mergeCell ref="J20:K20"/>
    <mergeCell ref="M20:N20"/>
    <mergeCell ref="G21:H21"/>
    <mergeCell ref="J21:K21"/>
    <mergeCell ref="M21:N21"/>
    <mergeCell ref="G28:H28"/>
    <mergeCell ref="J28:K28"/>
    <mergeCell ref="M28:N28"/>
    <mergeCell ref="G29:H29"/>
    <mergeCell ref="J29:K29"/>
    <mergeCell ref="M29:N29"/>
    <mergeCell ref="G25:H25"/>
    <mergeCell ref="J25:K25"/>
    <mergeCell ref="M25:N25"/>
    <mergeCell ref="G27:H27"/>
    <mergeCell ref="J27:K27"/>
    <mergeCell ref="M27:N27"/>
    <mergeCell ref="G34:H34"/>
    <mergeCell ref="J34:K34"/>
    <mergeCell ref="M34:N34"/>
    <mergeCell ref="G35:H35"/>
    <mergeCell ref="J35:K35"/>
    <mergeCell ref="M35:N35"/>
    <mergeCell ref="G31:H31"/>
    <mergeCell ref="J31:K31"/>
    <mergeCell ref="M31:N31"/>
    <mergeCell ref="G33:H33"/>
    <mergeCell ref="J33:K33"/>
    <mergeCell ref="M33:N33"/>
    <mergeCell ref="G39:H39"/>
    <mergeCell ref="J39:K39"/>
    <mergeCell ref="M39:N39"/>
    <mergeCell ref="G40:H40"/>
    <mergeCell ref="J40:K40"/>
    <mergeCell ref="M40:N40"/>
    <mergeCell ref="G36:H36"/>
    <mergeCell ref="J36:K36"/>
    <mergeCell ref="M36:N36"/>
    <mergeCell ref="G38:H38"/>
    <mergeCell ref="J38:K38"/>
    <mergeCell ref="M38:N38"/>
    <mergeCell ref="G51:H51"/>
    <mergeCell ref="J51:K51"/>
    <mergeCell ref="M51:N51"/>
    <mergeCell ref="G52:H52"/>
    <mergeCell ref="J52:K52"/>
    <mergeCell ref="M52:N52"/>
    <mergeCell ref="G41:H41"/>
    <mergeCell ref="J41:K41"/>
    <mergeCell ref="M41:N41"/>
    <mergeCell ref="G43:H43"/>
    <mergeCell ref="J43:K43"/>
    <mergeCell ref="M43:N43"/>
    <mergeCell ref="G59:H59"/>
    <mergeCell ref="J59:K59"/>
    <mergeCell ref="M59:N59"/>
    <mergeCell ref="G44:H44"/>
    <mergeCell ref="J44:K44"/>
    <mergeCell ref="M44:N44"/>
    <mergeCell ref="G57:H57"/>
    <mergeCell ref="J57:K57"/>
    <mergeCell ref="M57:N57"/>
    <mergeCell ref="G58:H58"/>
    <mergeCell ref="J58:K58"/>
    <mergeCell ref="M58:N58"/>
    <mergeCell ref="G55:H55"/>
    <mergeCell ref="J55:K55"/>
    <mergeCell ref="M55:N55"/>
    <mergeCell ref="G56:H56"/>
    <mergeCell ref="J56:K56"/>
    <mergeCell ref="M56:N56"/>
    <mergeCell ref="G53:H53"/>
    <mergeCell ref="J53:K53"/>
    <mergeCell ref="M53:N53"/>
    <mergeCell ref="G54:H54"/>
    <mergeCell ref="J54:K54"/>
    <mergeCell ref="M54:N54"/>
  </mergeCells>
  <printOptions/>
  <pageMargins left="0.25" right="0.25" top="0.75" bottom="0.75" header="0.3" footer="0.3"/>
  <pageSetup fitToHeight="1" fitToWidth="1" horizontalDpi="1200" verticalDpi="1200" orientation="portrait" scale="94" r:id="rId3"/>
  <colBreaks count="1" manualBreakCount="1">
    <brk id="14" max="16383" man="1"/>
  </colBreaks>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V66"/>
  <sheetViews>
    <sheetView showGridLines="0" workbookViewId="0" topLeftCell="A28">
      <selection activeCell="C15" sqref="C15"/>
    </sheetView>
  </sheetViews>
  <sheetFormatPr defaultColWidth="9.00390625" defaultRowHeight="11.25"/>
  <cols>
    <col min="1" max="1" width="4.625" style="1" customWidth="1"/>
    <col min="2" max="5" width="9.00390625" style="1" customWidth="1"/>
    <col min="6" max="6" width="7.125" style="1" customWidth="1"/>
    <col min="7" max="8" width="9.125" style="1" customWidth="1"/>
    <col min="9" max="9" width="1.75390625" style="1" customWidth="1"/>
    <col min="10" max="11" width="9.125" style="1" customWidth="1"/>
    <col min="12" max="12" width="1.75390625" style="1" customWidth="1"/>
    <col min="13" max="14" width="9.125" style="1" customWidth="1"/>
    <col min="15" max="15" width="3.75390625" style="10" customWidth="1"/>
    <col min="16" max="16384" width="9.00390625" style="10" customWidth="1"/>
  </cols>
  <sheetData>
    <row r="1" spans="1:14" s="12" customFormat="1" ht="11.25">
      <c r="A1" s="17" t="s">
        <v>88</v>
      </c>
      <c r="B1" s="18"/>
      <c r="C1" s="18"/>
      <c r="D1" s="18"/>
      <c r="E1" s="18"/>
      <c r="F1" s="18"/>
      <c r="G1" s="18"/>
      <c r="H1" s="18"/>
      <c r="I1" s="18"/>
      <c r="J1" s="18"/>
      <c r="K1" s="18"/>
      <c r="L1" s="18"/>
      <c r="M1" s="18"/>
      <c r="N1" s="19"/>
    </row>
    <row r="2" spans="1:16" s="12" customFormat="1" ht="11.25">
      <c r="A2" s="20" t="s">
        <v>89</v>
      </c>
      <c r="B2" s="15"/>
      <c r="C2" s="15"/>
      <c r="D2" s="15"/>
      <c r="E2" s="15"/>
      <c r="F2" s="15"/>
      <c r="G2" s="328" t="s">
        <v>26</v>
      </c>
      <c r="H2" s="328"/>
      <c r="I2" s="328"/>
      <c r="J2" s="328"/>
      <c r="K2" s="328"/>
      <c r="L2" s="328"/>
      <c r="M2" s="328"/>
      <c r="N2" s="329"/>
      <c r="P2" s="43" t="s">
        <v>27</v>
      </c>
    </row>
    <row r="3" spans="1:14" ht="11.25">
      <c r="A3" s="45"/>
      <c r="B3" s="2"/>
      <c r="C3" s="2"/>
      <c r="D3" s="2"/>
      <c r="E3" s="2"/>
      <c r="F3" s="16" t="s">
        <v>14</v>
      </c>
      <c r="G3" s="330">
        <v>19</v>
      </c>
      <c r="H3" s="327"/>
      <c r="I3" s="2"/>
      <c r="J3" s="330">
        <v>18</v>
      </c>
      <c r="K3" s="327"/>
      <c r="L3" s="2"/>
      <c r="M3" s="330">
        <v>17</v>
      </c>
      <c r="N3" s="331"/>
    </row>
    <row r="4" spans="1:14" ht="11.25">
      <c r="A4" s="20"/>
      <c r="B4" s="2"/>
      <c r="C4" s="2"/>
      <c r="D4" s="2"/>
      <c r="E4" s="2"/>
      <c r="F4" s="16" t="s">
        <v>15</v>
      </c>
      <c r="G4" s="330" t="s">
        <v>80</v>
      </c>
      <c r="H4" s="327"/>
      <c r="I4" s="2"/>
      <c r="J4" s="330" t="s">
        <v>81</v>
      </c>
      <c r="K4" s="327"/>
      <c r="L4" s="2"/>
      <c r="M4" s="330" t="s">
        <v>82</v>
      </c>
      <c r="N4" s="331"/>
    </row>
    <row r="5" spans="1:14" ht="11.25">
      <c r="A5" s="20"/>
      <c r="B5" s="2"/>
      <c r="C5" s="2"/>
      <c r="D5" s="2"/>
      <c r="E5" s="2"/>
      <c r="F5" s="16" t="s">
        <v>16</v>
      </c>
      <c r="G5" s="321" t="s">
        <v>95</v>
      </c>
      <c r="H5" s="322"/>
      <c r="I5" s="2"/>
      <c r="J5" s="28"/>
      <c r="K5" s="28"/>
      <c r="L5" s="28"/>
      <c r="M5" s="28"/>
      <c r="N5" s="33"/>
    </row>
    <row r="6" spans="1:14" ht="11.25">
      <c r="A6" s="20"/>
      <c r="B6" s="2"/>
      <c r="C6" s="2"/>
      <c r="D6" s="2"/>
      <c r="E6" s="2"/>
      <c r="F6" s="16" t="s">
        <v>17</v>
      </c>
      <c r="G6" s="323" t="s">
        <v>124</v>
      </c>
      <c r="H6" s="323"/>
      <c r="I6" s="2"/>
      <c r="J6" s="28"/>
      <c r="K6" s="28"/>
      <c r="L6" s="28"/>
      <c r="M6" s="28"/>
      <c r="N6" s="33"/>
    </row>
    <row r="7" spans="1:14" ht="11.25">
      <c r="A7" s="20"/>
      <c r="B7" s="2"/>
      <c r="C7" s="2"/>
      <c r="D7" s="2"/>
      <c r="E7" s="2"/>
      <c r="F7" s="16" t="s">
        <v>33</v>
      </c>
      <c r="G7" s="324" t="s">
        <v>101</v>
      </c>
      <c r="H7" s="325"/>
      <c r="I7" s="2"/>
      <c r="J7" s="28"/>
      <c r="K7" s="28"/>
      <c r="L7" s="28"/>
      <c r="M7" s="28"/>
      <c r="N7" s="33"/>
    </row>
    <row r="8" spans="1:14" ht="11.25">
      <c r="A8" s="20"/>
      <c r="B8" s="2"/>
      <c r="C8" s="2"/>
      <c r="D8" s="2"/>
      <c r="E8" s="2"/>
      <c r="F8" s="16" t="s">
        <v>18</v>
      </c>
      <c r="G8" s="326">
        <v>43923</v>
      </c>
      <c r="H8" s="327"/>
      <c r="I8" s="2"/>
      <c r="J8" s="28"/>
      <c r="K8" s="28"/>
      <c r="L8" s="28"/>
      <c r="M8" s="28"/>
      <c r="N8" s="33"/>
    </row>
    <row r="9" spans="1:14" ht="12.75">
      <c r="A9" s="21" t="s">
        <v>2</v>
      </c>
      <c r="B9" s="22"/>
      <c r="C9" s="4"/>
      <c r="D9" s="4"/>
      <c r="E9" s="3"/>
      <c r="F9" s="3"/>
      <c r="G9" s="319"/>
      <c r="H9" s="319"/>
      <c r="I9" s="3"/>
      <c r="J9" s="319"/>
      <c r="K9" s="319"/>
      <c r="L9" s="3"/>
      <c r="M9" s="319"/>
      <c r="N9" s="320"/>
    </row>
    <row r="10" spans="1:15" ht="12.75">
      <c r="A10" s="20"/>
      <c r="B10" s="22" t="s">
        <v>56</v>
      </c>
      <c r="C10" s="4"/>
      <c r="D10" s="4"/>
      <c r="E10" s="3"/>
      <c r="F10" s="29"/>
      <c r="G10" s="58"/>
      <c r="H10" s="58"/>
      <c r="I10" s="5"/>
      <c r="J10" s="58"/>
      <c r="K10" s="58"/>
      <c r="L10" s="5"/>
      <c r="M10" s="58"/>
      <c r="N10" s="59"/>
      <c r="O10" s="11"/>
    </row>
    <row r="11" spans="1:16" ht="11.25">
      <c r="A11" s="20"/>
      <c r="B11" s="22"/>
      <c r="C11" s="6"/>
      <c r="D11" s="6"/>
      <c r="E11" s="7"/>
      <c r="F11" s="30" t="s">
        <v>7</v>
      </c>
      <c r="G11" s="313">
        <f>ANTR!G11+GEOG!G11+PLAN!G11</f>
        <v>12859</v>
      </c>
      <c r="H11" s="314"/>
      <c r="I11" s="5"/>
      <c r="J11" s="313">
        <f>ANTR!J11+GEOG!J11+PLAN!J11</f>
        <v>13234</v>
      </c>
      <c r="K11" s="314"/>
      <c r="L11" s="5"/>
      <c r="M11" s="313">
        <f>ANTR!M11+GEOG!M11+PLAN!M11</f>
        <v>13352</v>
      </c>
      <c r="N11" s="315"/>
      <c r="P11" s="10" t="s">
        <v>28</v>
      </c>
    </row>
    <row r="12" spans="1:16" ht="12.75">
      <c r="A12" s="20"/>
      <c r="B12" s="22"/>
      <c r="C12" s="4"/>
      <c r="D12" s="4"/>
      <c r="E12" s="3"/>
      <c r="F12" s="29" t="s">
        <v>5</v>
      </c>
      <c r="G12" s="316">
        <v>-0.024</v>
      </c>
      <c r="H12" s="317"/>
      <c r="I12" s="5"/>
      <c r="J12" s="316">
        <v>0.009</v>
      </c>
      <c r="K12" s="317"/>
      <c r="L12" s="5"/>
      <c r="M12" s="316">
        <v>-0.011</v>
      </c>
      <c r="N12" s="318"/>
      <c r="O12" s="11"/>
      <c r="P12" s="10" t="s">
        <v>29</v>
      </c>
    </row>
    <row r="13" spans="1:16" ht="12.75">
      <c r="A13" s="20"/>
      <c r="B13" s="22"/>
      <c r="C13" s="4"/>
      <c r="D13" s="4"/>
      <c r="E13" s="3"/>
      <c r="F13" s="29" t="s">
        <v>53</v>
      </c>
      <c r="G13" s="313">
        <v>3</v>
      </c>
      <c r="H13" s="314"/>
      <c r="I13" s="5"/>
      <c r="J13" s="313">
        <v>3</v>
      </c>
      <c r="K13" s="314"/>
      <c r="L13" s="5"/>
      <c r="M13" s="313">
        <v>3</v>
      </c>
      <c r="N13" s="315"/>
      <c r="O13" s="11"/>
      <c r="P13" s="10" t="s">
        <v>71</v>
      </c>
    </row>
    <row r="14" spans="1:16" ht="12.75">
      <c r="A14" s="20"/>
      <c r="B14" s="22"/>
      <c r="C14" s="4"/>
      <c r="D14" s="4"/>
      <c r="E14" s="3"/>
      <c r="F14" s="29" t="s">
        <v>54</v>
      </c>
      <c r="G14" s="313">
        <f>ANTR!G14+GEOG!G14+PLAN!G14</f>
        <v>69</v>
      </c>
      <c r="H14" s="314"/>
      <c r="I14" s="5"/>
      <c r="J14" s="313">
        <f>ANTR!J14+GEOG!J14+PLAN!J14</f>
        <v>74</v>
      </c>
      <c r="K14" s="314"/>
      <c r="L14" s="5"/>
      <c r="M14" s="313">
        <f>ANTR!M14+GEOG!M14+PLAN!M14</f>
        <v>88</v>
      </c>
      <c r="N14" s="315"/>
      <c r="O14" s="11"/>
      <c r="P14" s="10" t="s">
        <v>70</v>
      </c>
    </row>
    <row r="15" spans="1:16" ht="12.75">
      <c r="A15" s="20"/>
      <c r="B15" s="22"/>
      <c r="C15" s="4"/>
      <c r="D15" s="4"/>
      <c r="E15" s="3"/>
      <c r="F15" s="29" t="s">
        <v>55</v>
      </c>
      <c r="G15" s="313">
        <f>ANTR!G15+GEOG!G15+PLAN!G15</f>
        <v>21</v>
      </c>
      <c r="H15" s="314"/>
      <c r="I15" s="5"/>
      <c r="J15" s="313">
        <f>ANTR!J15+GEOG!J15+PLAN!J15</f>
        <v>17</v>
      </c>
      <c r="K15" s="314"/>
      <c r="L15" s="5"/>
      <c r="M15" s="313">
        <f>ANTR!M15+GEOG!M15+PLAN!M15</f>
        <v>19</v>
      </c>
      <c r="N15" s="315"/>
      <c r="O15" s="11"/>
      <c r="P15" s="10" t="s">
        <v>69</v>
      </c>
    </row>
    <row r="16" spans="1:16" ht="12.75">
      <c r="A16" s="20"/>
      <c r="B16" s="22"/>
      <c r="C16" s="4"/>
      <c r="D16" s="4"/>
      <c r="E16" s="3"/>
      <c r="F16" s="29" t="s">
        <v>78</v>
      </c>
      <c r="G16" s="313">
        <f>ANTR!G16+GEOG!G16+PLAN!G16</f>
        <v>28</v>
      </c>
      <c r="H16" s="314"/>
      <c r="I16" s="5"/>
      <c r="J16" s="313">
        <f>ANTR!J16+GEOG!J16+PLAN!J16</f>
        <v>46</v>
      </c>
      <c r="K16" s="314"/>
      <c r="L16" s="5"/>
      <c r="M16" s="313">
        <f>ANTR!M16+GEOG!M16+PLAN!M16</f>
        <v>31</v>
      </c>
      <c r="N16" s="315"/>
      <c r="O16" s="11"/>
      <c r="P16" s="10" t="s">
        <v>86</v>
      </c>
    </row>
    <row r="17" spans="1:15" ht="12.75">
      <c r="A17" s="20"/>
      <c r="B17" s="22" t="s">
        <v>57</v>
      </c>
      <c r="C17" s="4"/>
      <c r="D17" s="4"/>
      <c r="E17" s="3"/>
      <c r="F17" s="29"/>
      <c r="G17" s="58"/>
      <c r="H17" s="58"/>
      <c r="I17" s="5"/>
      <c r="J17" s="58"/>
      <c r="K17" s="58"/>
      <c r="L17" s="5"/>
      <c r="M17" s="58"/>
      <c r="N17" s="59"/>
      <c r="O17" s="11"/>
    </row>
    <row r="18" spans="1:16" ht="11.25">
      <c r="A18" s="20"/>
      <c r="B18" s="22"/>
      <c r="C18" s="6"/>
      <c r="D18" s="6"/>
      <c r="E18" s="7"/>
      <c r="F18" s="30" t="s">
        <v>7</v>
      </c>
      <c r="G18" s="313">
        <f>GIPAGraduate!G18:H18+PLAN!G18</f>
        <v>747</v>
      </c>
      <c r="H18" s="314"/>
      <c r="I18" s="5"/>
      <c r="J18" s="313">
        <f>GIPAGraduate!J18:K18+PLAN!J18</f>
        <v>831</v>
      </c>
      <c r="K18" s="314"/>
      <c r="L18" s="5"/>
      <c r="M18" s="313">
        <f>GIPAGraduate!M18:N18+PLAN!M18</f>
        <v>740</v>
      </c>
      <c r="N18" s="315"/>
      <c r="P18" s="10" t="s">
        <v>28</v>
      </c>
    </row>
    <row r="19" spans="1:16" ht="12.75">
      <c r="A19" s="20"/>
      <c r="B19" s="22"/>
      <c r="C19" s="4"/>
      <c r="D19" s="4"/>
      <c r="E19" s="3"/>
      <c r="F19" s="29" t="s">
        <v>5</v>
      </c>
      <c r="G19" s="316">
        <v>0.027</v>
      </c>
      <c r="H19" s="317"/>
      <c r="I19" s="5"/>
      <c r="J19" s="316">
        <v>0.015</v>
      </c>
      <c r="K19" s="317"/>
      <c r="L19" s="5"/>
      <c r="M19" s="316">
        <v>0.068</v>
      </c>
      <c r="N19" s="318"/>
      <c r="O19" s="11"/>
      <c r="P19" s="10" t="s">
        <v>29</v>
      </c>
    </row>
    <row r="20" spans="1:16" ht="12.75">
      <c r="A20" s="20"/>
      <c r="B20" s="22"/>
      <c r="C20" s="4"/>
      <c r="D20" s="4"/>
      <c r="E20" s="3"/>
      <c r="F20" s="29" t="s">
        <v>58</v>
      </c>
      <c r="G20" s="313">
        <v>2</v>
      </c>
      <c r="H20" s="314"/>
      <c r="I20" s="5"/>
      <c r="J20" s="313">
        <v>2</v>
      </c>
      <c r="K20" s="314"/>
      <c r="L20" s="5"/>
      <c r="M20" s="313">
        <v>2</v>
      </c>
      <c r="N20" s="315"/>
      <c r="O20" s="11"/>
      <c r="P20" s="10" t="s">
        <v>71</v>
      </c>
    </row>
    <row r="21" spans="1:16" ht="12.75">
      <c r="A21" s="20"/>
      <c r="B21" s="22"/>
      <c r="C21" s="4"/>
      <c r="D21" s="4"/>
      <c r="E21" s="3"/>
      <c r="F21" s="29" t="s">
        <v>59</v>
      </c>
      <c r="G21" s="313">
        <f>GIPAGraduate!G21:H21+PLAN!G21</f>
        <v>31</v>
      </c>
      <c r="H21" s="314"/>
      <c r="I21" s="5"/>
      <c r="J21" s="313">
        <f>GIPAGraduate!J21:K21+PLAN!J21</f>
        <v>29</v>
      </c>
      <c r="K21" s="314"/>
      <c r="L21" s="5"/>
      <c r="M21" s="313">
        <f>GIPAGraduate!M21:N21+PLAN!M21</f>
        <v>16</v>
      </c>
      <c r="N21" s="315"/>
      <c r="O21" s="11"/>
      <c r="P21" s="10" t="s">
        <v>83</v>
      </c>
    </row>
    <row r="22" spans="1:16" ht="12.75">
      <c r="A22" s="20"/>
      <c r="B22" s="22"/>
      <c r="C22" s="4"/>
      <c r="D22" s="4"/>
      <c r="E22" s="3"/>
      <c r="F22" s="29" t="s">
        <v>78</v>
      </c>
      <c r="G22" s="313">
        <f>GIPAGraduate!G22:H22+PLAN!G22</f>
        <v>6</v>
      </c>
      <c r="H22" s="314"/>
      <c r="I22" s="5"/>
      <c r="J22" s="313">
        <f>GIPAGraduate!J22:K22+PLAN!J22</f>
        <v>12</v>
      </c>
      <c r="K22" s="314"/>
      <c r="L22" s="5"/>
      <c r="M22" s="313">
        <f>GIPAGraduate!M22:N22+PLAN!M22</f>
        <v>7</v>
      </c>
      <c r="N22" s="315"/>
      <c r="O22" s="11"/>
      <c r="P22" s="10" t="s">
        <v>86</v>
      </c>
    </row>
    <row r="23" spans="1:14" ht="11.25">
      <c r="A23" s="20"/>
      <c r="B23" s="4" t="s">
        <v>6</v>
      </c>
      <c r="C23" s="4"/>
      <c r="D23" s="4"/>
      <c r="E23" s="3"/>
      <c r="F23" s="3"/>
      <c r="G23" s="23"/>
      <c r="H23" s="23"/>
      <c r="I23" s="5"/>
      <c r="J23" s="23"/>
      <c r="K23" s="23"/>
      <c r="L23" s="5"/>
      <c r="M23" s="23"/>
      <c r="N23" s="24"/>
    </row>
    <row r="24" spans="1:16" ht="11.25">
      <c r="A24" s="20"/>
      <c r="B24" s="22"/>
      <c r="C24" s="4"/>
      <c r="D24" s="4"/>
      <c r="E24" s="3"/>
      <c r="F24" s="29" t="s">
        <v>20</v>
      </c>
      <c r="G24" s="293">
        <v>0.208</v>
      </c>
      <c r="H24" s="294"/>
      <c r="I24" s="3"/>
      <c r="J24" s="293">
        <v>0.204</v>
      </c>
      <c r="K24" s="294"/>
      <c r="L24" s="3"/>
      <c r="M24" s="293">
        <v>0.228</v>
      </c>
      <c r="N24" s="295"/>
      <c r="P24" s="10" t="s">
        <v>30</v>
      </c>
    </row>
    <row r="25" spans="1:16" ht="11.25">
      <c r="A25" s="20"/>
      <c r="B25" s="22"/>
      <c r="C25" s="4"/>
      <c r="D25" s="4"/>
      <c r="E25" s="3"/>
      <c r="F25" s="29" t="s">
        <v>21</v>
      </c>
      <c r="G25" s="293">
        <v>0.792</v>
      </c>
      <c r="H25" s="294"/>
      <c r="I25" s="3"/>
      <c r="J25" s="293">
        <v>0.796</v>
      </c>
      <c r="K25" s="294"/>
      <c r="L25" s="3"/>
      <c r="M25" s="293">
        <v>0.772</v>
      </c>
      <c r="N25" s="295"/>
      <c r="P25" s="10" t="s">
        <v>31</v>
      </c>
    </row>
    <row r="26" spans="1:14" ht="11.25">
      <c r="A26" s="62" t="s">
        <v>60</v>
      </c>
      <c r="B26" s="22"/>
      <c r="C26" s="4"/>
      <c r="D26" s="4"/>
      <c r="E26" s="3"/>
      <c r="F26" s="29"/>
      <c r="G26" s="60"/>
      <c r="H26" s="60"/>
      <c r="I26" s="5"/>
      <c r="J26" s="60"/>
      <c r="K26" s="60"/>
      <c r="L26" s="5"/>
      <c r="M26" s="60"/>
      <c r="N26" s="61"/>
    </row>
    <row r="27" spans="1:16" ht="11.25">
      <c r="A27" s="20"/>
      <c r="B27" s="22"/>
      <c r="C27" s="4"/>
      <c r="D27" s="4"/>
      <c r="E27" s="3"/>
      <c r="F27" s="29" t="s">
        <v>61</v>
      </c>
      <c r="G27" s="313">
        <f>ANTR!G27+GEOG!G27+PLAN!G27</f>
        <v>1131362.6500000001</v>
      </c>
      <c r="H27" s="314"/>
      <c r="I27" s="5"/>
      <c r="J27" s="313">
        <f>ANTR!J27+GEOG!J27+PLAN!J27</f>
        <v>1041353.0999999999</v>
      </c>
      <c r="K27" s="314"/>
      <c r="L27" s="5"/>
      <c r="M27" s="313">
        <f>ANTR!M27+GEOG!M27+PLAN!M27</f>
        <v>1115616.92</v>
      </c>
      <c r="N27" s="315"/>
      <c r="P27" s="10" t="s">
        <v>91</v>
      </c>
    </row>
    <row r="28" spans="1:16" ht="11.25">
      <c r="A28" s="20"/>
      <c r="B28" s="22"/>
      <c r="C28" s="4"/>
      <c r="D28" s="4"/>
      <c r="E28" s="3"/>
      <c r="F28" s="29" t="s">
        <v>62</v>
      </c>
      <c r="G28" s="313">
        <f>ANTR!G28+GEOG!G28+PLAN!G28</f>
        <v>78711.37</v>
      </c>
      <c r="H28" s="314"/>
      <c r="I28" s="5"/>
      <c r="J28" s="313">
        <f>ANTR!J28+GEOG!J28+PLAN!J28</f>
        <v>70864.72</v>
      </c>
      <c r="K28" s="314"/>
      <c r="L28" s="5"/>
      <c r="M28" s="313">
        <f>ANTR!M28+GEOG!M28+PLAN!M28</f>
        <v>66387.56</v>
      </c>
      <c r="N28" s="315"/>
      <c r="P28" s="10" t="s">
        <v>91</v>
      </c>
    </row>
    <row r="29" spans="1:16" ht="11.25">
      <c r="A29" s="20"/>
      <c r="B29" s="22"/>
      <c r="C29" s="4"/>
      <c r="D29" s="4"/>
      <c r="E29" s="3"/>
      <c r="F29" s="29" t="s">
        <v>63</v>
      </c>
      <c r="G29" s="313">
        <f>ANTR!G29+GEOG!G29+PLAN!G29</f>
        <v>373980.8</v>
      </c>
      <c r="H29" s="314"/>
      <c r="I29" s="5"/>
      <c r="J29" s="313">
        <f>ANTR!J29+GEOG!J29+PLAN!J29</f>
        <v>346136.57</v>
      </c>
      <c r="K29" s="314"/>
      <c r="L29" s="5"/>
      <c r="M29" s="313">
        <f>ANTR!M29+GEOG!M29+PLAN!M29</f>
        <v>372088.13</v>
      </c>
      <c r="N29" s="315"/>
      <c r="P29" s="10" t="s">
        <v>90</v>
      </c>
    </row>
    <row r="30" spans="1:14" ht="11.25">
      <c r="A30" s="20"/>
      <c r="B30" s="22"/>
      <c r="C30" s="4"/>
      <c r="D30" s="4"/>
      <c r="E30" s="3"/>
      <c r="F30" s="29"/>
      <c r="G30" s="73"/>
      <c r="H30" s="74"/>
      <c r="I30" s="5"/>
      <c r="J30" s="73"/>
      <c r="K30" s="74"/>
      <c r="L30" s="5"/>
      <c r="M30" s="73"/>
      <c r="N30" s="75"/>
    </row>
    <row r="31" spans="1:18" ht="11.25">
      <c r="A31" s="20"/>
      <c r="B31" s="4"/>
      <c r="C31" s="4"/>
      <c r="D31" s="4"/>
      <c r="E31" s="3"/>
      <c r="F31" s="63" t="s">
        <v>64</v>
      </c>
      <c r="G31" s="299">
        <f>(SUM(G27:G29))/(G11+G18)</f>
        <v>116.42325591650743</v>
      </c>
      <c r="H31" s="300"/>
      <c r="I31" s="22"/>
      <c r="J31" s="299">
        <f>SUM(J27:K29)/(J11+J18)</f>
        <v>103.68676786349093</v>
      </c>
      <c r="K31" s="300"/>
      <c r="L31" s="22"/>
      <c r="M31" s="299">
        <f>SUM(M27:N29)/(M11+M18)</f>
        <v>110.28190533636105</v>
      </c>
      <c r="N31" s="301"/>
      <c r="O31"/>
      <c r="P31" t="s">
        <v>32</v>
      </c>
      <c r="Q31"/>
      <c r="R31"/>
    </row>
    <row r="32" spans="1:14" ht="11.25">
      <c r="A32" s="21" t="s">
        <v>3</v>
      </c>
      <c r="B32" s="22"/>
      <c r="C32" s="4"/>
      <c r="D32" s="4"/>
      <c r="E32" s="3"/>
      <c r="F32" s="3"/>
      <c r="G32" s="8"/>
      <c r="H32" s="8"/>
      <c r="I32" s="3"/>
      <c r="J32" s="8"/>
      <c r="K32" s="8"/>
      <c r="L32" s="3"/>
      <c r="M32" s="8"/>
      <c r="N32" s="25"/>
    </row>
    <row r="33" spans="1:22" ht="11.25">
      <c r="A33" s="20"/>
      <c r="B33" s="22"/>
      <c r="C33" s="4"/>
      <c r="D33" s="48"/>
      <c r="E33" s="49"/>
      <c r="F33" s="50" t="s">
        <v>43</v>
      </c>
      <c r="G33" s="302">
        <f>ANTR!G33+GEOG!G33+GIPAGraduate!G33:H33+PLAN!G33</f>
        <v>11.8</v>
      </c>
      <c r="H33" s="303"/>
      <c r="I33" s="56"/>
      <c r="J33" s="302">
        <f>ANTR!J33+GEOG!J33+GIPAGraduate!J33:K33+PLAN!J33</f>
        <v>10.700000000000001</v>
      </c>
      <c r="K33" s="303"/>
      <c r="L33" s="56"/>
      <c r="M33" s="302">
        <f>ANTR!M33+GEOG!M33+GIPAGraduate!M33:N33+PLAN!M33</f>
        <v>12.899999999999999</v>
      </c>
      <c r="N33" s="304"/>
      <c r="O33"/>
      <c r="P33" s="46" t="s">
        <v>47</v>
      </c>
      <c r="Q33" s="47"/>
      <c r="R33" s="47"/>
      <c r="S33" s="46"/>
      <c r="T33" s="46"/>
      <c r="U33" s="46"/>
      <c r="V33" s="46"/>
    </row>
    <row r="34" spans="1:22" ht="11.25">
      <c r="A34" s="20"/>
      <c r="B34" s="22"/>
      <c r="C34" s="4"/>
      <c r="D34" s="48"/>
      <c r="E34" s="49"/>
      <c r="F34" s="50" t="s">
        <v>44</v>
      </c>
      <c r="G34" s="302">
        <f>ANTR!G34+GEOG!G34+GIPAGraduate!G34:H34+PLAN!G34</f>
        <v>2.25</v>
      </c>
      <c r="H34" s="303"/>
      <c r="I34" s="56"/>
      <c r="J34" s="302">
        <f>ANTR!J34+GEOG!J34+GIPAGraduate!J34:K34+PLAN!J34</f>
        <v>1.625</v>
      </c>
      <c r="K34" s="303"/>
      <c r="L34" s="56"/>
      <c r="M34" s="302">
        <f>ANTR!M34+GEOG!M34+GIPAGraduate!M34:N34+PLAN!M34</f>
        <v>2.125</v>
      </c>
      <c r="N34" s="304"/>
      <c r="O34"/>
      <c r="P34" s="46" t="s">
        <v>48</v>
      </c>
      <c r="Q34" s="47"/>
      <c r="R34" s="47"/>
      <c r="S34" s="46"/>
      <c r="T34" s="46"/>
      <c r="U34" s="46"/>
      <c r="V34" s="46"/>
    </row>
    <row r="35" spans="1:22" ht="11.25">
      <c r="A35" s="20"/>
      <c r="B35" s="22"/>
      <c r="C35" s="4"/>
      <c r="D35" s="48"/>
      <c r="E35" s="49"/>
      <c r="F35" s="50" t="s">
        <v>45</v>
      </c>
      <c r="G35" s="302">
        <f>ANTR!G35+GEOG!G35+GIPAGraduate!G35:H35+PLAN!G35</f>
        <v>1.8972222222222221</v>
      </c>
      <c r="H35" s="303"/>
      <c r="I35" s="56"/>
      <c r="J35" s="302">
        <f>ANTR!J35+GEOG!J35+GIPAGraduate!J35:K35+PLAN!J35</f>
        <v>5.147222222222222</v>
      </c>
      <c r="K35" s="303"/>
      <c r="L35" s="56"/>
      <c r="M35" s="302">
        <f>ANTR!M35+GEOG!M35+GIPAGraduate!M35:N35+PLAN!M35</f>
        <v>3.875</v>
      </c>
      <c r="N35" s="304"/>
      <c r="O35"/>
      <c r="P35" s="46" t="s">
        <v>50</v>
      </c>
      <c r="Q35" s="47"/>
      <c r="R35" s="47"/>
      <c r="S35" s="46"/>
      <c r="T35" s="46"/>
      <c r="U35" s="46"/>
      <c r="V35" s="46"/>
    </row>
    <row r="36" spans="1:22" ht="11.25">
      <c r="A36" s="20"/>
      <c r="B36" s="22"/>
      <c r="C36" s="4"/>
      <c r="D36" s="48"/>
      <c r="E36" s="49"/>
      <c r="F36" s="50" t="s">
        <v>46</v>
      </c>
      <c r="G36" s="302">
        <f>ANTR!G36+GEOG!G36+GIPAGraduate!G36:H36+PLAN!G36</f>
        <v>0</v>
      </c>
      <c r="H36" s="303"/>
      <c r="I36" s="56"/>
      <c r="J36" s="302">
        <f>ANTR!J36+GEOG!J36+GIPAGraduate!J36:K36+PLAN!J36</f>
        <v>0</v>
      </c>
      <c r="K36" s="303"/>
      <c r="L36" s="56"/>
      <c r="M36" s="302">
        <f>ANTR!M36+GEOG!M36+GIPAGraduate!M36:N36+PLAN!M36</f>
        <v>0</v>
      </c>
      <c r="N36" s="304"/>
      <c r="O36"/>
      <c r="P36" s="46" t="s">
        <v>49</v>
      </c>
      <c r="Q36" s="47"/>
      <c r="R36" s="47"/>
      <c r="S36" s="46"/>
      <c r="T36" s="46"/>
      <c r="U36" s="46"/>
      <c r="V36" s="46"/>
    </row>
    <row r="37" spans="1:18" s="69" customFormat="1" ht="11.25">
      <c r="A37" s="64"/>
      <c r="B37" s="65"/>
      <c r="C37" s="66"/>
      <c r="D37" s="66"/>
      <c r="E37" s="5"/>
      <c r="F37" s="67"/>
      <c r="G37" s="70"/>
      <c r="H37" s="70"/>
      <c r="I37" s="68"/>
      <c r="J37" s="70"/>
      <c r="K37" s="70"/>
      <c r="L37" s="68"/>
      <c r="M37" s="70"/>
      <c r="N37" s="71"/>
      <c r="O37" s="12"/>
      <c r="Q37" s="12"/>
      <c r="R37" s="12"/>
    </row>
    <row r="38" spans="1:22" ht="11.25">
      <c r="A38" s="20"/>
      <c r="B38" s="22"/>
      <c r="C38" s="4"/>
      <c r="D38" s="48"/>
      <c r="E38" s="49"/>
      <c r="F38" s="50" t="s">
        <v>66</v>
      </c>
      <c r="G38" s="305">
        <f>ANTR!G38+GEOG!G38+GIPAGraduate!G38:H38+PLAN!G38</f>
        <v>10987</v>
      </c>
      <c r="H38" s="305"/>
      <c r="I38" s="56"/>
      <c r="J38" s="305">
        <f>ANTR!J38+GEOG!J38+GIPAGraduate!J38:K38+PLAN!J38</f>
        <v>6994</v>
      </c>
      <c r="K38" s="305"/>
      <c r="L38" s="56"/>
      <c r="M38" s="305">
        <f>ANTR!M38+GEOG!M38+GIPAGraduate!M38:N38+PLAN!M38</f>
        <v>8363</v>
      </c>
      <c r="N38" s="306"/>
      <c r="O38"/>
      <c r="P38" s="46" t="s">
        <v>72</v>
      </c>
      <c r="Q38" s="47"/>
      <c r="R38" s="47"/>
      <c r="S38" s="46"/>
      <c r="T38" s="46"/>
      <c r="U38" s="46"/>
      <c r="V38" s="46"/>
    </row>
    <row r="39" spans="1:22" ht="11.25">
      <c r="A39" s="20"/>
      <c r="B39" s="22"/>
      <c r="C39" s="4"/>
      <c r="D39" s="48"/>
      <c r="E39" s="49"/>
      <c r="F39" s="50" t="s">
        <v>65</v>
      </c>
      <c r="G39" s="305">
        <f>ANTR!G39+GEOG!G39+GIPAGraduate!G39:H39+PLAN!G39</f>
        <v>834</v>
      </c>
      <c r="H39" s="305"/>
      <c r="I39" s="56"/>
      <c r="J39" s="305">
        <f>ANTR!J39+GEOG!J39+GIPAGraduate!J39:K39+PLAN!J39</f>
        <v>927</v>
      </c>
      <c r="K39" s="305"/>
      <c r="L39" s="56"/>
      <c r="M39" s="305">
        <f>ANTR!M39+GEOG!M39+GIPAGraduate!M39:N39+PLAN!M39</f>
        <v>740</v>
      </c>
      <c r="N39" s="306"/>
      <c r="O39"/>
      <c r="P39" s="46" t="s">
        <v>73</v>
      </c>
      <c r="Q39" s="47"/>
      <c r="R39" s="47"/>
      <c r="S39" s="46"/>
      <c r="T39" s="46"/>
      <c r="U39" s="46"/>
      <c r="V39" s="46"/>
    </row>
    <row r="40" spans="1:22" ht="11.25">
      <c r="A40" s="20"/>
      <c r="B40" s="22"/>
      <c r="C40" s="4"/>
      <c r="D40" s="48"/>
      <c r="E40" s="49"/>
      <c r="F40" s="50" t="s">
        <v>67</v>
      </c>
      <c r="G40" s="305">
        <f>ANTR!G40+GEOG!G40+GIPAGraduate!G40:H40+PLAN!G40</f>
        <v>914</v>
      </c>
      <c r="H40" s="305"/>
      <c r="I40" s="56"/>
      <c r="J40" s="305">
        <f>ANTR!J40+GEOG!J40+GIPAGraduate!J40:K40+PLAN!J40</f>
        <v>5730</v>
      </c>
      <c r="K40" s="305"/>
      <c r="L40" s="56"/>
      <c r="M40" s="305">
        <f>ANTR!M40+GEOG!M40+GIPAGraduate!M40:N40+PLAN!M40</f>
        <v>4922</v>
      </c>
      <c r="N40" s="306"/>
      <c r="O40"/>
      <c r="P40" s="46" t="s">
        <v>75</v>
      </c>
      <c r="Q40" s="47"/>
      <c r="R40" s="47"/>
      <c r="S40" s="46"/>
      <c r="T40" s="46"/>
      <c r="U40" s="46"/>
      <c r="V40" s="46"/>
    </row>
    <row r="41" spans="1:22" ht="11.25">
      <c r="A41" s="20"/>
      <c r="B41" s="22"/>
      <c r="C41" s="4"/>
      <c r="D41" s="48"/>
      <c r="E41" s="49"/>
      <c r="F41" s="50" t="s">
        <v>68</v>
      </c>
      <c r="G41" s="305">
        <f>ANTR!G41+GEOG!G41+GIPAGraduate!G41:H41+PLAN!G41</f>
        <v>0</v>
      </c>
      <c r="H41" s="305"/>
      <c r="I41" s="56"/>
      <c r="J41" s="305">
        <f>ANTR!J41+GEOG!J41+GIPAGraduate!J41:K41+PLAN!J41</f>
        <v>0</v>
      </c>
      <c r="K41" s="305"/>
      <c r="L41" s="56"/>
      <c r="M41" s="305">
        <f>ANTR!M41+GEOG!M41+GIPAGraduate!M41:N41+PLAN!M41</f>
        <v>0</v>
      </c>
      <c r="N41" s="306"/>
      <c r="O41"/>
      <c r="P41" s="46" t="s">
        <v>74</v>
      </c>
      <c r="Q41" s="47"/>
      <c r="R41" s="47"/>
      <c r="S41" s="46"/>
      <c r="T41" s="46"/>
      <c r="U41" s="46"/>
      <c r="V41" s="46"/>
    </row>
    <row r="42" spans="1:18" ht="11.25">
      <c r="A42" s="20"/>
      <c r="B42" s="4"/>
      <c r="C42" s="4"/>
      <c r="D42" s="4"/>
      <c r="E42" s="3"/>
      <c r="F42" s="3"/>
      <c r="G42" s="9"/>
      <c r="H42" s="9"/>
      <c r="I42" s="22"/>
      <c r="J42" s="9"/>
      <c r="K42" s="9"/>
      <c r="L42" s="22"/>
      <c r="M42" s="9"/>
      <c r="N42" s="26"/>
      <c r="O42"/>
      <c r="P42"/>
      <c r="Q42"/>
      <c r="R42"/>
    </row>
    <row r="43" spans="1:18" ht="11.25">
      <c r="A43" s="20"/>
      <c r="B43" s="22"/>
      <c r="C43" s="4"/>
      <c r="D43" s="4"/>
      <c r="E43" s="3"/>
      <c r="F43" s="29" t="s">
        <v>22</v>
      </c>
      <c r="G43" s="302">
        <f>+(G11+G18)/(G33+G34)</f>
        <v>968.3985765124555</v>
      </c>
      <c r="H43" s="303"/>
      <c r="I43" s="22"/>
      <c r="J43" s="302">
        <f>+(J11+J18)/(J33+J34)</f>
        <v>1141.1764705882351</v>
      </c>
      <c r="K43" s="303"/>
      <c r="L43" s="22"/>
      <c r="M43" s="302">
        <f>+(M11+M18)/(M33+M34)</f>
        <v>937.9034941763728</v>
      </c>
      <c r="N43" s="303"/>
      <c r="O43"/>
      <c r="P43" t="s">
        <v>32</v>
      </c>
      <c r="Q43"/>
      <c r="R43"/>
    </row>
    <row r="44" spans="1:18" ht="11.25">
      <c r="A44" s="20"/>
      <c r="B44" s="22"/>
      <c r="C44" s="4"/>
      <c r="D44" s="4"/>
      <c r="E44" s="3"/>
      <c r="F44" s="29" t="s">
        <v>216</v>
      </c>
      <c r="G44" s="332">
        <f>(G11+G18)/SUM(G33:H36)</f>
        <v>853.1893398362654</v>
      </c>
      <c r="H44" s="332"/>
      <c r="I44" s="22"/>
      <c r="J44" s="332">
        <f>(J11+J18)/SUM(J33:K36)</f>
        <v>804.9920508744038</v>
      </c>
      <c r="K44" s="332"/>
      <c r="L44" s="22"/>
      <c r="M44" s="332">
        <f>(M11+M18)/SUM(M33:N36)</f>
        <v>745.6084656084656</v>
      </c>
      <c r="N44" s="332"/>
      <c r="O44"/>
      <c r="P44"/>
      <c r="Q44"/>
      <c r="R44"/>
    </row>
    <row r="45" spans="1:17" ht="11.25">
      <c r="A45" s="20"/>
      <c r="B45" s="4"/>
      <c r="C45" s="4"/>
      <c r="D45" s="4"/>
      <c r="E45" s="3"/>
      <c r="F45" s="3"/>
      <c r="G45" s="34" t="s">
        <v>24</v>
      </c>
      <c r="H45" s="34" t="s">
        <v>23</v>
      </c>
      <c r="I45" s="28"/>
      <c r="J45" s="34" t="s">
        <v>24</v>
      </c>
      <c r="K45" s="34" t="s">
        <v>23</v>
      </c>
      <c r="L45" s="28"/>
      <c r="M45" s="34" t="s">
        <v>24</v>
      </c>
      <c r="N45" s="35" t="s">
        <v>23</v>
      </c>
      <c r="O45" s="14"/>
      <c r="P45" s="13"/>
      <c r="Q45" s="31"/>
    </row>
    <row r="46" spans="1:22" ht="11.25">
      <c r="A46" s="20"/>
      <c r="B46" s="4"/>
      <c r="C46" s="4"/>
      <c r="D46" s="52"/>
      <c r="E46" s="53"/>
      <c r="F46" s="54" t="s">
        <v>25</v>
      </c>
      <c r="G46" s="76">
        <f>ANTR!G46+GEOG!G46+PLAN!G46</f>
        <v>14</v>
      </c>
      <c r="H46" s="32">
        <f>G46/(G46+G47+G48+G49)</f>
        <v>0.9655172413793104</v>
      </c>
      <c r="I46" s="28"/>
      <c r="J46" s="76">
        <f>ANTR!J46+GEOG!J46+PLAN!J46</f>
        <v>14</v>
      </c>
      <c r="K46" s="32">
        <f>J46/(J46+J47+J48+J49)</f>
        <v>0.9655172413793104</v>
      </c>
      <c r="L46" s="28"/>
      <c r="M46" s="76">
        <f>ANTR!M46+GEOG!M46+PLAN!M46</f>
        <v>14</v>
      </c>
      <c r="N46" s="36">
        <f>M46/(M46+M47+M48+M49)</f>
        <v>0.9032258064516129</v>
      </c>
      <c r="O46" s="14"/>
      <c r="P46" s="55" t="s">
        <v>84</v>
      </c>
      <c r="Q46" s="51"/>
      <c r="R46" s="55"/>
      <c r="S46" s="55"/>
      <c r="T46" s="55"/>
      <c r="U46" s="55"/>
      <c r="V46" s="55"/>
    </row>
    <row r="47" spans="1:22" ht="11.25">
      <c r="A47" s="20"/>
      <c r="B47" s="4"/>
      <c r="C47" s="4"/>
      <c r="D47" s="52"/>
      <c r="E47" s="53"/>
      <c r="F47" s="54" t="s">
        <v>13</v>
      </c>
      <c r="G47" s="76">
        <f>ANTR!G47+GEOG!G47+PLAN!G47</f>
        <v>0.5</v>
      </c>
      <c r="H47" s="32">
        <f>G47/(G46+G47+G48+G49)</f>
        <v>0.034482758620689655</v>
      </c>
      <c r="I47" s="28"/>
      <c r="J47" s="76">
        <f>ANTR!J47+GEOG!J47+PLAN!J47</f>
        <v>0.5</v>
      </c>
      <c r="K47" s="32">
        <f>J47/(J46+J47+J48+J49)</f>
        <v>0.034482758620689655</v>
      </c>
      <c r="L47" s="28"/>
      <c r="M47" s="76">
        <f>ANTR!M47+GEOG!M47+PLAN!M47</f>
        <v>1.5</v>
      </c>
      <c r="N47" s="36">
        <f>M47/(M46+M47+M48+M49)</f>
        <v>0.0967741935483871</v>
      </c>
      <c r="O47" s="14"/>
      <c r="P47" s="55" t="s">
        <v>84</v>
      </c>
      <c r="Q47" s="51"/>
      <c r="R47" s="55"/>
      <c r="S47" s="55"/>
      <c r="T47" s="55"/>
      <c r="U47" s="55"/>
      <c r="V47" s="55"/>
    </row>
    <row r="48" spans="1:22" ht="11.25">
      <c r="A48" s="20"/>
      <c r="B48" s="4"/>
      <c r="C48" s="4"/>
      <c r="D48" s="52"/>
      <c r="E48" s="53"/>
      <c r="F48" s="54" t="s">
        <v>51</v>
      </c>
      <c r="G48" s="76">
        <f>ANTR!G48+GEOG!G48+PLAN!G48</f>
        <v>0</v>
      </c>
      <c r="H48" s="32">
        <f>G48/(G46+G47+G48+G49)</f>
        <v>0</v>
      </c>
      <c r="I48" s="28"/>
      <c r="J48" s="76">
        <f>ANTR!J48+GEOG!J48+PLAN!J48</f>
        <v>0</v>
      </c>
      <c r="K48" s="32">
        <f>J48/(J46+J47+J48+J49)</f>
        <v>0</v>
      </c>
      <c r="L48" s="28"/>
      <c r="M48" s="76">
        <f>ANTR!M48+GEOG!M48+PLAN!M48</f>
        <v>0</v>
      </c>
      <c r="N48" s="36">
        <f>M48/(M46+M47+M48+M49)</f>
        <v>0</v>
      </c>
      <c r="O48" s="14"/>
      <c r="P48" s="55" t="s">
        <v>85</v>
      </c>
      <c r="Q48" s="51"/>
      <c r="R48" s="55"/>
      <c r="S48" s="55"/>
      <c r="T48" s="55"/>
      <c r="U48" s="55"/>
      <c r="V48" s="55"/>
    </row>
    <row r="49" spans="1:22" ht="11.25">
      <c r="A49" s="20"/>
      <c r="B49" s="4"/>
      <c r="C49" s="4"/>
      <c r="D49" s="52"/>
      <c r="E49" s="53"/>
      <c r="F49" s="54" t="s">
        <v>52</v>
      </c>
      <c r="G49" s="76">
        <f>ANTR!G49+GEOG!G49+PLAN!G49</f>
        <v>0</v>
      </c>
      <c r="H49" s="32">
        <f>G49/(G46+G47+G48+G49)</f>
        <v>0</v>
      </c>
      <c r="I49" s="28"/>
      <c r="J49" s="76">
        <f>ANTR!J49+GEOG!J49+PLAN!J49</f>
        <v>0</v>
      </c>
      <c r="K49" s="32">
        <f>J49/(J46+J47+J48+J49)</f>
        <v>0</v>
      </c>
      <c r="L49" s="28"/>
      <c r="M49" s="76">
        <f>ANTR!M49+GEOG!M49+PLAN!M49</f>
        <v>0</v>
      </c>
      <c r="N49" s="36">
        <f>M49/(M46+M47+M48+M49)</f>
        <v>0</v>
      </c>
      <c r="O49" s="14"/>
      <c r="P49" s="55" t="s">
        <v>85</v>
      </c>
      <c r="Q49" s="51"/>
      <c r="R49" s="55"/>
      <c r="S49" s="55"/>
      <c r="T49" s="55"/>
      <c r="U49" s="55"/>
      <c r="V49" s="55"/>
    </row>
    <row r="50" spans="1:14" ht="11.25">
      <c r="A50" s="21" t="s">
        <v>4</v>
      </c>
      <c r="B50" s="22"/>
      <c r="C50" s="4"/>
      <c r="D50" s="4"/>
      <c r="E50" s="3"/>
      <c r="F50" s="3"/>
      <c r="G50" s="8"/>
      <c r="H50" s="8"/>
      <c r="I50" s="3"/>
      <c r="J50" s="8"/>
      <c r="K50" s="8"/>
      <c r="L50" s="3"/>
      <c r="M50" s="8"/>
      <c r="N50" s="25"/>
    </row>
    <row r="51" spans="1:16" ht="11.25">
      <c r="A51" s="21"/>
      <c r="B51" s="22"/>
      <c r="C51" s="4"/>
      <c r="D51" s="4"/>
      <c r="E51" s="3"/>
      <c r="F51" s="63" t="s">
        <v>77</v>
      </c>
      <c r="G51" s="293">
        <v>0.891</v>
      </c>
      <c r="H51" s="294"/>
      <c r="I51" s="72"/>
      <c r="J51" s="293">
        <v>0.891</v>
      </c>
      <c r="K51" s="294"/>
      <c r="L51" s="72"/>
      <c r="M51" s="293">
        <v>0.902</v>
      </c>
      <c r="N51" s="295"/>
      <c r="P51" s="10" t="s">
        <v>87</v>
      </c>
    </row>
    <row r="52" spans="1:16" ht="11.25">
      <c r="A52" s="21"/>
      <c r="B52" s="22"/>
      <c r="C52" s="4"/>
      <c r="D52" s="4"/>
      <c r="E52" s="3"/>
      <c r="F52" s="63" t="s">
        <v>76</v>
      </c>
      <c r="G52" s="293">
        <v>0.126</v>
      </c>
      <c r="H52" s="294"/>
      <c r="I52" s="72"/>
      <c r="J52" s="293">
        <v>0.128</v>
      </c>
      <c r="K52" s="294"/>
      <c r="L52" s="72"/>
      <c r="M52" s="293">
        <v>0.121</v>
      </c>
      <c r="N52" s="295"/>
      <c r="P52" s="10" t="s">
        <v>79</v>
      </c>
    </row>
    <row r="53" spans="1:16" ht="11" customHeight="1">
      <c r="A53" s="20"/>
      <c r="B53" s="23"/>
      <c r="C53" s="4"/>
      <c r="D53" s="4"/>
      <c r="E53" s="3"/>
      <c r="F53" s="29" t="s">
        <v>10</v>
      </c>
      <c r="G53" s="296">
        <v>8</v>
      </c>
      <c r="H53" s="297"/>
      <c r="I53" s="3"/>
      <c r="J53" s="296">
        <v>12</v>
      </c>
      <c r="K53" s="297"/>
      <c r="L53" s="3"/>
      <c r="M53" s="296">
        <v>20</v>
      </c>
      <c r="N53" s="298"/>
      <c r="P53" s="10" t="s">
        <v>34</v>
      </c>
    </row>
    <row r="54" spans="1:16" ht="11.25">
      <c r="A54" s="20"/>
      <c r="B54" s="23"/>
      <c r="C54" s="4"/>
      <c r="D54" s="4"/>
      <c r="E54" s="3"/>
      <c r="F54" s="29" t="s">
        <v>8</v>
      </c>
      <c r="G54" s="296">
        <v>18</v>
      </c>
      <c r="H54" s="297"/>
      <c r="I54" s="14"/>
      <c r="J54" s="296">
        <v>20</v>
      </c>
      <c r="K54" s="297"/>
      <c r="L54" s="14"/>
      <c r="M54" s="296">
        <v>18</v>
      </c>
      <c r="N54" s="298"/>
      <c r="P54" s="10" t="s">
        <v>36</v>
      </c>
    </row>
    <row r="55" spans="1:16" ht="11.25">
      <c r="A55" s="20"/>
      <c r="B55" s="23"/>
      <c r="C55" s="4"/>
      <c r="D55" s="4"/>
      <c r="E55" s="3"/>
      <c r="F55" s="42" t="s">
        <v>11</v>
      </c>
      <c r="G55" s="296">
        <v>21.4</v>
      </c>
      <c r="H55" s="297"/>
      <c r="I55" s="3"/>
      <c r="J55" s="296">
        <v>23.4</v>
      </c>
      <c r="K55" s="297"/>
      <c r="L55" s="3"/>
      <c r="M55" s="296">
        <v>22.1</v>
      </c>
      <c r="N55" s="298"/>
      <c r="P55" s="10" t="s">
        <v>42</v>
      </c>
    </row>
    <row r="56" spans="1:19" ht="11.25">
      <c r="A56" s="20"/>
      <c r="B56" s="22"/>
      <c r="C56" s="4"/>
      <c r="D56" s="4"/>
      <c r="E56" s="3"/>
      <c r="F56" s="29" t="s">
        <v>9</v>
      </c>
      <c r="G56" s="293">
        <v>0.6</v>
      </c>
      <c r="H56" s="294"/>
      <c r="I56" s="3"/>
      <c r="J56" s="293">
        <v>0.63</v>
      </c>
      <c r="K56" s="294"/>
      <c r="L56" s="3"/>
      <c r="M56" s="293">
        <v>0.6</v>
      </c>
      <c r="N56" s="295"/>
      <c r="P56" s="10" t="s">
        <v>37</v>
      </c>
      <c r="Q56"/>
      <c r="R56"/>
      <c r="S56"/>
    </row>
    <row r="57" spans="1:19" ht="11.25">
      <c r="A57" s="20"/>
      <c r="B57" s="22"/>
      <c r="C57" s="4"/>
      <c r="D57" s="4"/>
      <c r="E57" s="27"/>
      <c r="F57" s="29" t="s">
        <v>12</v>
      </c>
      <c r="G57" s="296">
        <v>4</v>
      </c>
      <c r="H57" s="297"/>
      <c r="I57" s="28"/>
      <c r="J57" s="296">
        <v>3</v>
      </c>
      <c r="K57" s="297"/>
      <c r="L57" s="28"/>
      <c r="M57" s="296">
        <v>3</v>
      </c>
      <c r="N57" s="298"/>
      <c r="P57" s="10" t="s">
        <v>38</v>
      </c>
      <c r="Q57"/>
      <c r="R57"/>
      <c r="S57"/>
    </row>
    <row r="58" spans="1:19" ht="11.25">
      <c r="A58" s="20"/>
      <c r="B58" s="22"/>
      <c r="C58" s="4"/>
      <c r="D58" s="4"/>
      <c r="E58" s="3"/>
      <c r="F58" s="29" t="s">
        <v>19</v>
      </c>
      <c r="G58" s="293">
        <v>0.264</v>
      </c>
      <c r="H58" s="294"/>
      <c r="I58" s="28"/>
      <c r="J58" s="293">
        <v>0.24</v>
      </c>
      <c r="K58" s="294"/>
      <c r="L58" s="28"/>
      <c r="M58" s="293">
        <v>0.315</v>
      </c>
      <c r="N58" s="295"/>
      <c r="P58" s="10" t="s">
        <v>39</v>
      </c>
      <c r="Q58"/>
      <c r="R58"/>
      <c r="S58"/>
    </row>
    <row r="59" spans="1:19" ht="11.25">
      <c r="A59" s="20"/>
      <c r="B59" s="22"/>
      <c r="C59" s="4"/>
      <c r="D59" s="4"/>
      <c r="E59" s="3"/>
      <c r="F59" s="29" t="s">
        <v>0</v>
      </c>
      <c r="G59" s="293">
        <v>-0.019</v>
      </c>
      <c r="H59" s="294"/>
      <c r="I59" s="28"/>
      <c r="J59" s="293">
        <v>0.005</v>
      </c>
      <c r="K59" s="294"/>
      <c r="L59" s="28"/>
      <c r="M59" s="293">
        <v>0</v>
      </c>
      <c r="N59" s="295"/>
      <c r="P59" s="10" t="s">
        <v>40</v>
      </c>
      <c r="Q59"/>
      <c r="R59"/>
      <c r="S59"/>
    </row>
    <row r="60" spans="1:14" ht="11.25">
      <c r="A60" s="21" t="s">
        <v>1</v>
      </c>
      <c r="B60" s="28"/>
      <c r="C60" s="28"/>
      <c r="D60" s="28"/>
      <c r="E60" s="28"/>
      <c r="F60" s="28"/>
      <c r="G60" s="28"/>
      <c r="H60" s="28"/>
      <c r="I60" s="28"/>
      <c r="J60" s="28"/>
      <c r="K60" s="28"/>
      <c r="L60" s="28"/>
      <c r="M60" s="28"/>
      <c r="N60" s="33"/>
    </row>
    <row r="61" spans="1:16" ht="11.25">
      <c r="A61" s="37" t="s">
        <v>125</v>
      </c>
      <c r="B61" s="28"/>
      <c r="C61" s="28"/>
      <c r="D61" s="28"/>
      <c r="E61" s="28"/>
      <c r="F61" s="28"/>
      <c r="G61" s="28"/>
      <c r="H61" s="28"/>
      <c r="I61" s="28"/>
      <c r="J61" s="28"/>
      <c r="K61" s="28"/>
      <c r="L61" s="28"/>
      <c r="M61" s="28"/>
      <c r="N61" s="33"/>
      <c r="P61" t="s">
        <v>35</v>
      </c>
    </row>
    <row r="62" spans="1:14" ht="11.25">
      <c r="A62" s="38" t="s">
        <v>126</v>
      </c>
      <c r="B62" s="23"/>
      <c r="C62" s="23"/>
      <c r="D62" s="23"/>
      <c r="E62" s="23"/>
      <c r="F62" s="23"/>
      <c r="G62" s="23"/>
      <c r="H62" s="23"/>
      <c r="I62" s="23"/>
      <c r="J62" s="23"/>
      <c r="K62" s="23"/>
      <c r="L62" s="23"/>
      <c r="M62" s="23"/>
      <c r="N62" s="24"/>
    </row>
    <row r="63" spans="1:14" ht="11.25">
      <c r="A63" s="38" t="s">
        <v>127</v>
      </c>
      <c r="B63" s="23"/>
      <c r="C63" s="23"/>
      <c r="D63" s="23"/>
      <c r="E63" s="23"/>
      <c r="F63" s="23"/>
      <c r="G63" s="23"/>
      <c r="H63" s="23"/>
      <c r="I63" s="23"/>
      <c r="J63" s="23"/>
      <c r="K63" s="23"/>
      <c r="L63" s="23"/>
      <c r="M63" s="23"/>
      <c r="N63" s="24"/>
    </row>
    <row r="64" spans="1:16" ht="11.25">
      <c r="A64" s="38"/>
      <c r="B64" s="23"/>
      <c r="C64" s="23"/>
      <c r="D64" s="23"/>
      <c r="E64" s="23"/>
      <c r="F64" s="23"/>
      <c r="G64" s="23"/>
      <c r="H64" s="23"/>
      <c r="I64" s="23"/>
      <c r="J64" s="23"/>
      <c r="K64" s="23"/>
      <c r="L64" s="23"/>
      <c r="M64" s="23"/>
      <c r="N64" s="24"/>
      <c r="P64" s="44" t="s">
        <v>41</v>
      </c>
    </row>
    <row r="65" spans="1:14" ht="11.25">
      <c r="A65" s="38"/>
      <c r="B65" s="23"/>
      <c r="C65" s="23"/>
      <c r="D65" s="23"/>
      <c r="E65" s="23"/>
      <c r="F65" s="23"/>
      <c r="G65" s="23"/>
      <c r="H65" s="23"/>
      <c r="I65" s="23"/>
      <c r="J65" s="23"/>
      <c r="K65" s="23"/>
      <c r="L65" s="23"/>
      <c r="M65" s="23"/>
      <c r="N65" s="24"/>
    </row>
    <row r="66" spans="1:14" ht="12.75" thickBot="1">
      <c r="A66" s="39"/>
      <c r="B66" s="40"/>
      <c r="C66" s="40"/>
      <c r="D66" s="40"/>
      <c r="E66" s="40"/>
      <c r="F66" s="40"/>
      <c r="G66" s="40"/>
      <c r="H66" s="40"/>
      <c r="I66" s="40"/>
      <c r="J66" s="40"/>
      <c r="K66" s="40"/>
      <c r="L66" s="40"/>
      <c r="M66" s="40"/>
      <c r="N66" s="41"/>
    </row>
  </sheetData>
  <mergeCells count="122">
    <mergeCell ref="G5:H5"/>
    <mergeCell ref="G6:H6"/>
    <mergeCell ref="G7:H7"/>
    <mergeCell ref="G8:H8"/>
    <mergeCell ref="G9:H9"/>
    <mergeCell ref="J9:K9"/>
    <mergeCell ref="G2:N2"/>
    <mergeCell ref="G3:H3"/>
    <mergeCell ref="J3:K3"/>
    <mergeCell ref="M3:N3"/>
    <mergeCell ref="G4:H4"/>
    <mergeCell ref="J4:K4"/>
    <mergeCell ref="M4:N4"/>
    <mergeCell ref="G13:H13"/>
    <mergeCell ref="J13:K13"/>
    <mergeCell ref="M13:N13"/>
    <mergeCell ref="G14:H14"/>
    <mergeCell ref="J14:K14"/>
    <mergeCell ref="M14:N14"/>
    <mergeCell ref="M9:N9"/>
    <mergeCell ref="G11:H11"/>
    <mergeCell ref="J11:K11"/>
    <mergeCell ref="M11:N11"/>
    <mergeCell ref="G12:H12"/>
    <mergeCell ref="J12:K12"/>
    <mergeCell ref="M12:N12"/>
    <mergeCell ref="G18:H18"/>
    <mergeCell ref="J18:K18"/>
    <mergeCell ref="M18:N18"/>
    <mergeCell ref="G19:H19"/>
    <mergeCell ref="J19:K19"/>
    <mergeCell ref="M19:N19"/>
    <mergeCell ref="G15:H15"/>
    <mergeCell ref="J15:K15"/>
    <mergeCell ref="M15:N15"/>
    <mergeCell ref="G16:H16"/>
    <mergeCell ref="J16:K16"/>
    <mergeCell ref="M16:N16"/>
    <mergeCell ref="G22:H22"/>
    <mergeCell ref="J22:K22"/>
    <mergeCell ref="M22:N22"/>
    <mergeCell ref="G24:H24"/>
    <mergeCell ref="J24:K24"/>
    <mergeCell ref="M24:N24"/>
    <mergeCell ref="G20:H20"/>
    <mergeCell ref="J20:K20"/>
    <mergeCell ref="M20:N20"/>
    <mergeCell ref="G21:H21"/>
    <mergeCell ref="J21:K21"/>
    <mergeCell ref="M21:N21"/>
    <mergeCell ref="G28:H28"/>
    <mergeCell ref="J28:K28"/>
    <mergeCell ref="M28:N28"/>
    <mergeCell ref="G29:H29"/>
    <mergeCell ref="J29:K29"/>
    <mergeCell ref="M29:N29"/>
    <mergeCell ref="G25:H25"/>
    <mergeCell ref="J25:K25"/>
    <mergeCell ref="M25:N25"/>
    <mergeCell ref="G27:H27"/>
    <mergeCell ref="J27:K27"/>
    <mergeCell ref="M27:N27"/>
    <mergeCell ref="G34:H34"/>
    <mergeCell ref="J34:K34"/>
    <mergeCell ref="M34:N34"/>
    <mergeCell ref="G35:H35"/>
    <mergeCell ref="J35:K35"/>
    <mergeCell ref="M35:N35"/>
    <mergeCell ref="G31:H31"/>
    <mergeCell ref="J31:K31"/>
    <mergeCell ref="M31:N31"/>
    <mergeCell ref="G33:H33"/>
    <mergeCell ref="J33:K33"/>
    <mergeCell ref="M33:N33"/>
    <mergeCell ref="G39:H39"/>
    <mergeCell ref="J39:K39"/>
    <mergeCell ref="M39:N39"/>
    <mergeCell ref="G40:H40"/>
    <mergeCell ref="J40:K40"/>
    <mergeCell ref="M40:N40"/>
    <mergeCell ref="G36:H36"/>
    <mergeCell ref="J36:K36"/>
    <mergeCell ref="M36:N36"/>
    <mergeCell ref="G38:H38"/>
    <mergeCell ref="J38:K38"/>
    <mergeCell ref="M38:N38"/>
    <mergeCell ref="G51:H51"/>
    <mergeCell ref="J51:K51"/>
    <mergeCell ref="M51:N51"/>
    <mergeCell ref="G52:H52"/>
    <mergeCell ref="J52:K52"/>
    <mergeCell ref="M52:N52"/>
    <mergeCell ref="G41:H41"/>
    <mergeCell ref="J41:K41"/>
    <mergeCell ref="M41:N41"/>
    <mergeCell ref="G43:H43"/>
    <mergeCell ref="J43:K43"/>
    <mergeCell ref="M43:N43"/>
    <mergeCell ref="G59:H59"/>
    <mergeCell ref="J59:K59"/>
    <mergeCell ref="M59:N59"/>
    <mergeCell ref="G44:H44"/>
    <mergeCell ref="J44:K44"/>
    <mergeCell ref="M44:N44"/>
    <mergeCell ref="G57:H57"/>
    <mergeCell ref="J57:K57"/>
    <mergeCell ref="M57:N57"/>
    <mergeCell ref="G58:H58"/>
    <mergeCell ref="J58:K58"/>
    <mergeCell ref="M58:N58"/>
    <mergeCell ref="G55:H55"/>
    <mergeCell ref="J55:K55"/>
    <mergeCell ref="M55:N55"/>
    <mergeCell ref="G56:H56"/>
    <mergeCell ref="J56:K56"/>
    <mergeCell ref="M56:N56"/>
    <mergeCell ref="G53:H53"/>
    <mergeCell ref="J53:K53"/>
    <mergeCell ref="M53:N53"/>
    <mergeCell ref="G54:H54"/>
    <mergeCell ref="J54:K54"/>
    <mergeCell ref="M54:N54"/>
  </mergeCells>
  <printOptions/>
  <pageMargins left="0.25" right="0.25" top="0.75" bottom="0.75" header="0.3" footer="0.3"/>
  <pageSetup fitToHeight="1" fitToWidth="1" horizontalDpi="1200" verticalDpi="1200" orientation="portrait" scale="94" r:id="rId3"/>
  <colBreaks count="1" manualBreakCount="1">
    <brk id="14" max="16383" man="1"/>
  </colBreaks>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V66"/>
  <sheetViews>
    <sheetView showGridLines="0" workbookViewId="0" topLeftCell="A16">
      <selection activeCell="M43" sqref="M43:N43"/>
    </sheetView>
  </sheetViews>
  <sheetFormatPr defaultColWidth="9.00390625" defaultRowHeight="11.25"/>
  <cols>
    <col min="1" max="1" width="4.625" style="1" customWidth="1"/>
    <col min="2" max="5" width="9.00390625" style="1" customWidth="1"/>
    <col min="6" max="6" width="7.125" style="1" customWidth="1"/>
    <col min="7" max="8" width="9.125" style="1" customWidth="1"/>
    <col min="9" max="9" width="1.75390625" style="1" customWidth="1"/>
    <col min="10" max="11" width="9.125" style="1" customWidth="1"/>
    <col min="12" max="12" width="1.75390625" style="1" customWidth="1"/>
    <col min="13" max="14" width="9.125" style="1" customWidth="1"/>
    <col min="15" max="15" width="3.75390625" style="10" customWidth="1"/>
    <col min="16" max="16384" width="9.00390625" style="10" customWidth="1"/>
  </cols>
  <sheetData>
    <row r="1" spans="1:14" s="12" customFormat="1" ht="11.25">
      <c r="A1" s="17" t="s">
        <v>88</v>
      </c>
      <c r="B1" s="18"/>
      <c r="C1" s="18"/>
      <c r="D1" s="18"/>
      <c r="E1" s="18"/>
      <c r="F1" s="18"/>
      <c r="G1" s="18"/>
      <c r="H1" s="18"/>
      <c r="I1" s="18"/>
      <c r="J1" s="18"/>
      <c r="K1" s="18"/>
      <c r="L1" s="18"/>
      <c r="M1" s="18"/>
      <c r="N1" s="19"/>
    </row>
    <row r="2" spans="1:16" s="12" customFormat="1" ht="11.25">
      <c r="A2" s="20" t="s">
        <v>89</v>
      </c>
      <c r="B2" s="15"/>
      <c r="C2" s="15"/>
      <c r="D2" s="15"/>
      <c r="E2" s="15"/>
      <c r="F2" s="15"/>
      <c r="G2" s="328" t="s">
        <v>26</v>
      </c>
      <c r="H2" s="328"/>
      <c r="I2" s="328"/>
      <c r="J2" s="328"/>
      <c r="K2" s="328"/>
      <c r="L2" s="328"/>
      <c r="M2" s="328"/>
      <c r="N2" s="329"/>
      <c r="P2" s="43" t="s">
        <v>27</v>
      </c>
    </row>
    <row r="3" spans="1:14" ht="11.25">
      <c r="A3" s="45"/>
      <c r="B3" s="2"/>
      <c r="C3" s="2"/>
      <c r="D3" s="2"/>
      <c r="E3" s="2"/>
      <c r="F3" s="16" t="s">
        <v>14</v>
      </c>
      <c r="G3" s="330">
        <v>19</v>
      </c>
      <c r="H3" s="327"/>
      <c r="I3" s="2"/>
      <c r="J3" s="330">
        <v>18</v>
      </c>
      <c r="K3" s="327"/>
      <c r="L3" s="2"/>
      <c r="M3" s="330">
        <v>17</v>
      </c>
      <c r="N3" s="331"/>
    </row>
    <row r="4" spans="1:14" ht="11.25">
      <c r="A4" s="20"/>
      <c r="B4" s="2"/>
      <c r="C4" s="2"/>
      <c r="D4" s="2"/>
      <c r="E4" s="2"/>
      <c r="F4" s="16" t="s">
        <v>15</v>
      </c>
      <c r="G4" s="330" t="s">
        <v>80</v>
      </c>
      <c r="H4" s="327"/>
      <c r="I4" s="2"/>
      <c r="J4" s="330" t="s">
        <v>81</v>
      </c>
      <c r="K4" s="327"/>
      <c r="L4" s="2"/>
      <c r="M4" s="330" t="s">
        <v>82</v>
      </c>
      <c r="N4" s="331"/>
    </row>
    <row r="5" spans="1:14" ht="11.25">
      <c r="A5" s="20"/>
      <c r="B5" s="2"/>
      <c r="C5" s="2"/>
      <c r="D5" s="2"/>
      <c r="E5" s="2"/>
      <c r="F5" s="16" t="s">
        <v>16</v>
      </c>
      <c r="G5" s="321" t="s">
        <v>95</v>
      </c>
      <c r="H5" s="322"/>
      <c r="I5" s="2"/>
      <c r="J5" s="28"/>
      <c r="K5" s="28"/>
      <c r="L5" s="28"/>
      <c r="M5" s="28"/>
      <c r="N5" s="33"/>
    </row>
    <row r="6" spans="1:14" ht="11.25">
      <c r="A6" s="20"/>
      <c r="B6" s="2"/>
      <c r="C6" s="2"/>
      <c r="D6" s="2"/>
      <c r="E6" s="2"/>
      <c r="F6" s="16" t="s">
        <v>17</v>
      </c>
      <c r="G6" s="323" t="s">
        <v>128</v>
      </c>
      <c r="H6" s="323"/>
      <c r="I6" s="2"/>
      <c r="J6" s="28"/>
      <c r="K6" s="28"/>
      <c r="L6" s="28"/>
      <c r="M6" s="28"/>
      <c r="N6" s="33"/>
    </row>
    <row r="7" spans="1:14" ht="11.25">
      <c r="A7" s="20"/>
      <c r="B7" s="2"/>
      <c r="C7" s="2"/>
      <c r="D7" s="2"/>
      <c r="E7" s="2"/>
      <c r="F7" s="16" t="s">
        <v>33</v>
      </c>
      <c r="G7" s="324" t="s">
        <v>101</v>
      </c>
      <c r="H7" s="325"/>
      <c r="I7" s="2"/>
      <c r="J7" s="28"/>
      <c r="K7" s="28"/>
      <c r="L7" s="28"/>
      <c r="M7" s="28"/>
      <c r="N7" s="33"/>
    </row>
    <row r="8" spans="1:14" ht="11.25">
      <c r="A8" s="20"/>
      <c r="B8" s="2"/>
      <c r="C8" s="2"/>
      <c r="D8" s="2"/>
      <c r="E8" s="2"/>
      <c r="F8" s="16" t="s">
        <v>18</v>
      </c>
      <c r="G8" s="326">
        <v>43939</v>
      </c>
      <c r="H8" s="327"/>
      <c r="I8" s="2"/>
      <c r="J8" s="28"/>
      <c r="K8" s="28"/>
      <c r="L8" s="28"/>
      <c r="M8" s="28"/>
      <c r="N8" s="33"/>
    </row>
    <row r="9" spans="1:14" ht="12.75">
      <c r="A9" s="21" t="s">
        <v>2</v>
      </c>
      <c r="B9" s="22"/>
      <c r="C9" s="4"/>
      <c r="D9" s="4"/>
      <c r="E9" s="3"/>
      <c r="F9" s="3"/>
      <c r="G9" s="319"/>
      <c r="H9" s="319"/>
      <c r="I9" s="3"/>
      <c r="J9" s="319"/>
      <c r="K9" s="319"/>
      <c r="L9" s="3"/>
      <c r="M9" s="319"/>
      <c r="N9" s="320"/>
    </row>
    <row r="10" spans="1:15" ht="12.75">
      <c r="A10" s="20"/>
      <c r="B10" s="22" t="s">
        <v>56</v>
      </c>
      <c r="C10" s="4"/>
      <c r="D10" s="4"/>
      <c r="E10" s="3"/>
      <c r="F10" s="29"/>
      <c r="G10" s="58"/>
      <c r="H10" s="58"/>
      <c r="I10" s="5"/>
      <c r="J10" s="58"/>
      <c r="K10" s="58"/>
      <c r="L10" s="5"/>
      <c r="M10" s="58"/>
      <c r="N10" s="59"/>
      <c r="O10" s="11"/>
    </row>
    <row r="11" spans="1:16" ht="11.25">
      <c r="A11" s="20"/>
      <c r="B11" s="22"/>
      <c r="C11" s="6"/>
      <c r="D11" s="6"/>
      <c r="E11" s="7"/>
      <c r="F11" s="30" t="s">
        <v>7</v>
      </c>
      <c r="G11" s="313">
        <v>4145</v>
      </c>
      <c r="H11" s="314"/>
      <c r="I11" s="5"/>
      <c r="J11" s="313">
        <v>5787</v>
      </c>
      <c r="K11" s="314"/>
      <c r="L11" s="5"/>
      <c r="M11" s="313">
        <v>5460</v>
      </c>
      <c r="N11" s="315"/>
      <c r="P11" s="10" t="s">
        <v>28</v>
      </c>
    </row>
    <row r="12" spans="1:16" ht="12.75">
      <c r="A12" s="20"/>
      <c r="B12" s="22"/>
      <c r="C12" s="4"/>
      <c r="D12" s="4"/>
      <c r="E12" s="3"/>
      <c r="F12" s="29" t="s">
        <v>5</v>
      </c>
      <c r="G12" s="316">
        <v>-0.129</v>
      </c>
      <c r="H12" s="317"/>
      <c r="I12" s="5"/>
      <c r="J12" s="316">
        <v>0.063</v>
      </c>
      <c r="K12" s="317"/>
      <c r="L12" s="5"/>
      <c r="M12" s="316">
        <v>-0.014</v>
      </c>
      <c r="N12" s="318"/>
      <c r="O12" s="11"/>
      <c r="P12" s="10" t="s">
        <v>29</v>
      </c>
    </row>
    <row r="13" spans="1:16" ht="12.75">
      <c r="A13" s="20"/>
      <c r="B13" s="22"/>
      <c r="C13" s="4"/>
      <c r="D13" s="4"/>
      <c r="E13" s="3"/>
      <c r="F13" s="29" t="s">
        <v>53</v>
      </c>
      <c r="G13" s="313">
        <v>1</v>
      </c>
      <c r="H13" s="314"/>
      <c r="I13" s="5"/>
      <c r="J13" s="313">
        <v>1</v>
      </c>
      <c r="K13" s="314"/>
      <c r="L13" s="5"/>
      <c r="M13" s="313">
        <v>1</v>
      </c>
      <c r="N13" s="315"/>
      <c r="O13" s="11"/>
      <c r="P13" s="10" t="s">
        <v>71</v>
      </c>
    </row>
    <row r="14" spans="1:16" ht="12.75">
      <c r="A14" s="20"/>
      <c r="B14" s="22"/>
      <c r="C14" s="4"/>
      <c r="D14" s="4"/>
      <c r="E14" s="3"/>
      <c r="F14" s="29" t="s">
        <v>54</v>
      </c>
      <c r="G14" s="313">
        <v>28</v>
      </c>
      <c r="H14" s="314"/>
      <c r="I14" s="5"/>
      <c r="J14" s="313">
        <v>38</v>
      </c>
      <c r="K14" s="314"/>
      <c r="L14" s="5"/>
      <c r="M14" s="313">
        <v>41</v>
      </c>
      <c r="N14" s="315"/>
      <c r="O14" s="11"/>
      <c r="P14" s="10" t="s">
        <v>70</v>
      </c>
    </row>
    <row r="15" spans="1:16" ht="12.75">
      <c r="A15" s="20"/>
      <c r="B15" s="22"/>
      <c r="C15" s="4"/>
      <c r="D15" s="4"/>
      <c r="E15" s="3"/>
      <c r="F15" s="29" t="s">
        <v>55</v>
      </c>
      <c r="G15" s="313">
        <v>13</v>
      </c>
      <c r="H15" s="314"/>
      <c r="I15" s="5"/>
      <c r="J15" s="313">
        <v>8</v>
      </c>
      <c r="K15" s="314"/>
      <c r="L15" s="5"/>
      <c r="M15" s="313">
        <v>11</v>
      </c>
      <c r="N15" s="315"/>
      <c r="O15" s="11"/>
      <c r="P15" s="10" t="s">
        <v>69</v>
      </c>
    </row>
    <row r="16" spans="1:16" ht="12.75">
      <c r="A16" s="20"/>
      <c r="B16" s="22"/>
      <c r="C16" s="4"/>
      <c r="D16" s="4"/>
      <c r="E16" s="3"/>
      <c r="F16" s="29" t="s">
        <v>78</v>
      </c>
      <c r="G16" s="313">
        <v>11</v>
      </c>
      <c r="H16" s="314"/>
      <c r="I16" s="5"/>
      <c r="J16" s="313">
        <v>23</v>
      </c>
      <c r="K16" s="314"/>
      <c r="L16" s="5"/>
      <c r="M16" s="313">
        <v>10</v>
      </c>
      <c r="N16" s="315"/>
      <c r="O16" s="11"/>
      <c r="P16" s="10" t="s">
        <v>86</v>
      </c>
    </row>
    <row r="17" spans="1:15" ht="12.75">
      <c r="A17" s="20"/>
      <c r="B17" s="22" t="s">
        <v>57</v>
      </c>
      <c r="C17" s="4"/>
      <c r="D17" s="4"/>
      <c r="E17" s="3"/>
      <c r="F17" s="29"/>
      <c r="G17" s="58"/>
      <c r="H17" s="58"/>
      <c r="I17" s="5"/>
      <c r="J17" s="58"/>
      <c r="K17" s="58"/>
      <c r="L17" s="5"/>
      <c r="M17" s="58"/>
      <c r="N17" s="59"/>
      <c r="O17" s="11"/>
    </row>
    <row r="18" spans="1:16" ht="11.25">
      <c r="A18" s="20"/>
      <c r="B18" s="22"/>
      <c r="C18" s="6"/>
      <c r="D18" s="6"/>
      <c r="E18" s="7"/>
      <c r="F18" s="30" t="s">
        <v>7</v>
      </c>
      <c r="G18" s="313"/>
      <c r="H18" s="314"/>
      <c r="I18" s="5"/>
      <c r="J18" s="313"/>
      <c r="K18" s="314"/>
      <c r="L18" s="5"/>
      <c r="M18" s="313"/>
      <c r="N18" s="315"/>
      <c r="P18" s="10" t="s">
        <v>28</v>
      </c>
    </row>
    <row r="19" spans="1:16" ht="12.75">
      <c r="A19" s="20"/>
      <c r="B19" s="22"/>
      <c r="C19" s="4"/>
      <c r="D19" s="4"/>
      <c r="E19" s="3"/>
      <c r="F19" s="29" t="s">
        <v>5</v>
      </c>
      <c r="G19" s="316"/>
      <c r="H19" s="317"/>
      <c r="I19" s="5"/>
      <c r="J19" s="316"/>
      <c r="K19" s="317"/>
      <c r="L19" s="5"/>
      <c r="M19" s="316"/>
      <c r="N19" s="318"/>
      <c r="O19" s="11"/>
      <c r="P19" s="10" t="s">
        <v>29</v>
      </c>
    </row>
    <row r="20" spans="1:16" ht="12.75">
      <c r="A20" s="20"/>
      <c r="B20" s="22"/>
      <c r="C20" s="4"/>
      <c r="D20" s="4"/>
      <c r="E20" s="3"/>
      <c r="F20" s="29" t="s">
        <v>58</v>
      </c>
      <c r="G20" s="313"/>
      <c r="H20" s="314"/>
      <c r="I20" s="5"/>
      <c r="J20" s="313"/>
      <c r="K20" s="314"/>
      <c r="L20" s="5"/>
      <c r="M20" s="313"/>
      <c r="N20" s="315"/>
      <c r="O20" s="11"/>
      <c r="P20" s="10" t="s">
        <v>71</v>
      </c>
    </row>
    <row r="21" spans="1:16" ht="12.75">
      <c r="A21" s="20"/>
      <c r="B21" s="22"/>
      <c r="C21" s="4"/>
      <c r="D21" s="4"/>
      <c r="E21" s="3"/>
      <c r="F21" s="29" t="s">
        <v>59</v>
      </c>
      <c r="G21" s="313"/>
      <c r="H21" s="314"/>
      <c r="I21" s="5"/>
      <c r="J21" s="313"/>
      <c r="K21" s="314"/>
      <c r="L21" s="5"/>
      <c r="M21" s="313"/>
      <c r="N21" s="315"/>
      <c r="O21" s="11"/>
      <c r="P21" s="10" t="s">
        <v>83</v>
      </c>
    </row>
    <row r="22" spans="1:16" ht="12.75">
      <c r="A22" s="20"/>
      <c r="B22" s="22"/>
      <c r="C22" s="4"/>
      <c r="D22" s="4"/>
      <c r="E22" s="3"/>
      <c r="F22" s="29" t="s">
        <v>78</v>
      </c>
      <c r="G22" s="313"/>
      <c r="H22" s="314"/>
      <c r="I22" s="5"/>
      <c r="J22" s="313"/>
      <c r="K22" s="314"/>
      <c r="L22" s="5"/>
      <c r="M22" s="313"/>
      <c r="N22" s="315"/>
      <c r="O22" s="11"/>
      <c r="P22" s="10" t="s">
        <v>86</v>
      </c>
    </row>
    <row r="23" spans="1:14" ht="11.25">
      <c r="A23" s="20"/>
      <c r="B23" s="4" t="s">
        <v>6</v>
      </c>
      <c r="C23" s="4"/>
      <c r="D23" s="4"/>
      <c r="E23" s="3"/>
      <c r="F23" s="3"/>
      <c r="G23" s="23"/>
      <c r="H23" s="23"/>
      <c r="I23" s="5"/>
      <c r="J23" s="23"/>
      <c r="K23" s="23"/>
      <c r="L23" s="5"/>
      <c r="M23" s="23"/>
      <c r="N23" s="24"/>
    </row>
    <row r="24" spans="1:16" ht="11.25">
      <c r="A24" s="20"/>
      <c r="B24" s="22"/>
      <c r="C24" s="4"/>
      <c r="D24" s="4"/>
      <c r="E24" s="3"/>
      <c r="F24" s="29" t="s">
        <v>20</v>
      </c>
      <c r="G24" s="293">
        <v>0.152</v>
      </c>
      <c r="H24" s="294"/>
      <c r="I24" s="3"/>
      <c r="J24" s="293">
        <v>0.148</v>
      </c>
      <c r="K24" s="294"/>
      <c r="L24" s="3"/>
      <c r="M24" s="293">
        <v>0.215</v>
      </c>
      <c r="N24" s="295"/>
      <c r="P24" s="10" t="s">
        <v>30</v>
      </c>
    </row>
    <row r="25" spans="1:16" ht="11.25">
      <c r="A25" s="20"/>
      <c r="B25" s="22"/>
      <c r="C25" s="4"/>
      <c r="D25" s="4"/>
      <c r="E25" s="3"/>
      <c r="F25" s="29" t="s">
        <v>21</v>
      </c>
      <c r="G25" s="293">
        <v>0.848</v>
      </c>
      <c r="H25" s="294"/>
      <c r="I25" s="3"/>
      <c r="J25" s="293">
        <v>0.852</v>
      </c>
      <c r="K25" s="294"/>
      <c r="L25" s="3"/>
      <c r="M25" s="293">
        <v>0.785</v>
      </c>
      <c r="N25" s="295"/>
      <c r="P25" s="10" t="s">
        <v>31</v>
      </c>
    </row>
    <row r="26" spans="1:14" ht="11.25">
      <c r="A26" s="62" t="s">
        <v>60</v>
      </c>
      <c r="B26" s="22"/>
      <c r="C26" s="4"/>
      <c r="D26" s="4"/>
      <c r="E26" s="3"/>
      <c r="F26" s="29"/>
      <c r="G26" s="60"/>
      <c r="H26" s="60"/>
      <c r="I26" s="5"/>
      <c r="J26" s="60"/>
      <c r="K26" s="60"/>
      <c r="L26" s="5"/>
      <c r="M26" s="60"/>
      <c r="N26" s="61"/>
    </row>
    <row r="27" spans="1:16" ht="11.25">
      <c r="A27" s="20"/>
      <c r="B27" s="22"/>
      <c r="C27" s="4"/>
      <c r="D27" s="4"/>
      <c r="E27" s="3"/>
      <c r="F27" s="29" t="s">
        <v>61</v>
      </c>
      <c r="G27" s="313">
        <v>369999.03</v>
      </c>
      <c r="H27" s="314"/>
      <c r="I27" s="5"/>
      <c r="J27" s="313">
        <v>305459.54</v>
      </c>
      <c r="K27" s="314"/>
      <c r="L27" s="5"/>
      <c r="M27" s="313">
        <v>414877.6</v>
      </c>
      <c r="N27" s="315"/>
      <c r="P27" s="10" t="s">
        <v>91</v>
      </c>
    </row>
    <row r="28" spans="1:16" ht="11.25">
      <c r="A28" s="20"/>
      <c r="B28" s="22"/>
      <c r="C28" s="4"/>
      <c r="D28" s="4"/>
      <c r="E28" s="3"/>
      <c r="F28" s="29" t="s">
        <v>62</v>
      </c>
      <c r="G28" s="313">
        <v>0</v>
      </c>
      <c r="H28" s="314"/>
      <c r="I28" s="5"/>
      <c r="J28" s="313">
        <v>0</v>
      </c>
      <c r="K28" s="314"/>
      <c r="L28" s="5"/>
      <c r="M28" s="313">
        <v>0</v>
      </c>
      <c r="N28" s="315"/>
      <c r="P28" s="10" t="s">
        <v>91</v>
      </c>
    </row>
    <row r="29" spans="1:16" ht="11.25">
      <c r="A29" s="20"/>
      <c r="B29" s="22"/>
      <c r="C29" s="4"/>
      <c r="D29" s="4"/>
      <c r="E29" s="3"/>
      <c r="F29" s="29" t="s">
        <v>63</v>
      </c>
      <c r="G29" s="310">
        <v>118559.12</v>
      </c>
      <c r="H29" s="311"/>
      <c r="I29" s="5"/>
      <c r="J29" s="310">
        <v>99430.07</v>
      </c>
      <c r="K29" s="311"/>
      <c r="L29" s="5"/>
      <c r="M29" s="310">
        <v>127288.33</v>
      </c>
      <c r="N29" s="312"/>
      <c r="P29" s="10" t="s">
        <v>90</v>
      </c>
    </row>
    <row r="30" spans="1:14" ht="11.25">
      <c r="A30" s="20"/>
      <c r="B30" s="22"/>
      <c r="C30" s="4"/>
      <c r="D30" s="4"/>
      <c r="E30" s="3"/>
      <c r="F30" s="29"/>
      <c r="G30" s="73"/>
      <c r="H30" s="74"/>
      <c r="I30" s="5"/>
      <c r="J30" s="73"/>
      <c r="K30" s="74"/>
      <c r="L30" s="5"/>
      <c r="M30" s="73"/>
      <c r="N30" s="75"/>
    </row>
    <row r="31" spans="1:18" ht="11.25">
      <c r="A31" s="20"/>
      <c r="B31" s="4"/>
      <c r="C31" s="4"/>
      <c r="D31" s="4"/>
      <c r="E31" s="3"/>
      <c r="F31" s="63" t="s">
        <v>64</v>
      </c>
      <c r="G31" s="299">
        <f>(SUM(G27:G29))/(G11+G18)</f>
        <v>117.86686369119421</v>
      </c>
      <c r="H31" s="300"/>
      <c r="I31" s="22"/>
      <c r="J31" s="299">
        <f>SUM(J27:K29)/(J11+J18)</f>
        <v>69.96537238638327</v>
      </c>
      <c r="K31" s="300"/>
      <c r="L31" s="22"/>
      <c r="M31" s="299">
        <f>SUM(M27:N29)/(M11+M18)</f>
        <v>99.29778937728936</v>
      </c>
      <c r="N31" s="301"/>
      <c r="O31"/>
      <c r="P31" t="s">
        <v>32</v>
      </c>
      <c r="Q31"/>
      <c r="R31"/>
    </row>
    <row r="32" spans="1:14" ht="11.25">
      <c r="A32" s="21" t="s">
        <v>3</v>
      </c>
      <c r="B32" s="22"/>
      <c r="C32" s="4"/>
      <c r="D32" s="4"/>
      <c r="E32" s="3"/>
      <c r="F32" s="3"/>
      <c r="G32" s="8"/>
      <c r="H32" s="8"/>
      <c r="I32" s="3"/>
      <c r="J32" s="8"/>
      <c r="K32" s="8"/>
      <c r="L32" s="3"/>
      <c r="M32" s="8"/>
      <c r="N32" s="25"/>
    </row>
    <row r="33" spans="1:22" ht="11.25">
      <c r="A33" s="20"/>
      <c r="B33" s="22"/>
      <c r="C33" s="4"/>
      <c r="D33" s="48"/>
      <c r="E33" s="49"/>
      <c r="F33" s="50" t="s">
        <v>43</v>
      </c>
      <c r="G33" s="302">
        <f>0.7+1.5</f>
        <v>2.2</v>
      </c>
      <c r="H33" s="303"/>
      <c r="I33" s="56"/>
      <c r="J33" s="302">
        <f>1.5+1</f>
        <v>2.5</v>
      </c>
      <c r="K33" s="303"/>
      <c r="L33" s="56"/>
      <c r="M33" s="302">
        <f>2.9+1.2</f>
        <v>4.1</v>
      </c>
      <c r="N33" s="304"/>
      <c r="O33"/>
      <c r="P33" s="46" t="s">
        <v>47</v>
      </c>
      <c r="Q33" s="47"/>
      <c r="R33" s="47"/>
      <c r="S33" s="46"/>
      <c r="T33" s="46"/>
      <c r="U33" s="46"/>
      <c r="V33" s="46"/>
    </row>
    <row r="34" spans="1:22" ht="11.25">
      <c r="A34" s="20"/>
      <c r="B34" s="22"/>
      <c r="C34" s="4"/>
      <c r="D34" s="48"/>
      <c r="E34" s="49"/>
      <c r="F34" s="50" t="s">
        <v>44</v>
      </c>
      <c r="G34" s="302">
        <f>0.4/36*45</f>
        <v>0.5</v>
      </c>
      <c r="H34" s="303"/>
      <c r="I34" s="56"/>
      <c r="J34" s="302">
        <f>0.4/36*45</f>
        <v>0.5</v>
      </c>
      <c r="K34" s="303"/>
      <c r="L34" s="56"/>
      <c r="M34" s="302">
        <f>0.6/36*45</f>
        <v>0.75</v>
      </c>
      <c r="N34" s="304"/>
      <c r="O34"/>
      <c r="P34" s="46" t="s">
        <v>48</v>
      </c>
      <c r="Q34" s="47"/>
      <c r="R34" s="47"/>
      <c r="S34" s="46"/>
      <c r="T34" s="46"/>
      <c r="U34" s="46"/>
      <c r="V34" s="46"/>
    </row>
    <row r="35" spans="1:22" ht="11.25">
      <c r="A35" s="20"/>
      <c r="B35" s="22"/>
      <c r="C35" s="4"/>
      <c r="D35" s="48"/>
      <c r="E35" s="49"/>
      <c r="F35" s="50" t="s">
        <v>45</v>
      </c>
      <c r="G35" s="307">
        <f>0.6/36*45</f>
        <v>0.75</v>
      </c>
      <c r="H35" s="308"/>
      <c r="I35" s="56"/>
      <c r="J35" s="307">
        <f>1.4/36*45</f>
        <v>1.75</v>
      </c>
      <c r="K35" s="308"/>
      <c r="L35" s="56"/>
      <c r="M35" s="307">
        <f>0.7/36*45</f>
        <v>0.875</v>
      </c>
      <c r="N35" s="309"/>
      <c r="O35"/>
      <c r="P35" s="46" t="s">
        <v>50</v>
      </c>
      <c r="Q35" s="47"/>
      <c r="R35" s="47"/>
      <c r="S35" s="46"/>
      <c r="T35" s="46"/>
      <c r="U35" s="46"/>
      <c r="V35" s="46"/>
    </row>
    <row r="36" spans="1:22" ht="11.25">
      <c r="A36" s="20"/>
      <c r="B36" s="22"/>
      <c r="C36" s="4"/>
      <c r="D36" s="48"/>
      <c r="E36" s="49"/>
      <c r="F36" s="50" t="s">
        <v>46</v>
      </c>
      <c r="G36" s="305">
        <v>0</v>
      </c>
      <c r="H36" s="305"/>
      <c r="I36" s="56"/>
      <c r="J36" s="305">
        <v>0</v>
      </c>
      <c r="K36" s="305"/>
      <c r="L36" s="56"/>
      <c r="M36" s="305">
        <v>0</v>
      </c>
      <c r="N36" s="306"/>
      <c r="O36"/>
      <c r="P36" s="46" t="s">
        <v>49</v>
      </c>
      <c r="Q36" s="47"/>
      <c r="R36" s="47"/>
      <c r="S36" s="46"/>
      <c r="T36" s="46"/>
      <c r="U36" s="46"/>
      <c r="V36" s="46"/>
    </row>
    <row r="37" spans="1:18" s="69" customFormat="1" ht="11.25">
      <c r="A37" s="64"/>
      <c r="B37" s="65"/>
      <c r="C37" s="66"/>
      <c r="D37" s="66"/>
      <c r="E37" s="5"/>
      <c r="F37" s="67"/>
      <c r="G37" s="70"/>
      <c r="H37" s="70"/>
      <c r="I37" s="68"/>
      <c r="J37" s="70"/>
      <c r="K37" s="70"/>
      <c r="L37" s="68"/>
      <c r="M37" s="70"/>
      <c r="N37" s="71"/>
      <c r="O37" s="12"/>
      <c r="Q37" s="12"/>
      <c r="R37" s="12"/>
    </row>
    <row r="38" spans="1:22" ht="11.25">
      <c r="A38" s="20"/>
      <c r="B38" s="22"/>
      <c r="C38" s="4"/>
      <c r="D38" s="48"/>
      <c r="E38" s="49"/>
      <c r="F38" s="50" t="s">
        <v>66</v>
      </c>
      <c r="G38" s="305">
        <f>628+1777</f>
        <v>2405</v>
      </c>
      <c r="H38" s="305"/>
      <c r="I38" s="56"/>
      <c r="J38" s="305">
        <f>1300+1529</f>
        <v>2829</v>
      </c>
      <c r="K38" s="305"/>
      <c r="L38" s="56"/>
      <c r="M38" s="305">
        <f>2167+1836</f>
        <v>4003</v>
      </c>
      <c r="N38" s="306"/>
      <c r="O38"/>
      <c r="P38" s="46" t="s">
        <v>72</v>
      </c>
      <c r="Q38" s="47"/>
      <c r="R38" s="47"/>
      <c r="S38" s="46"/>
      <c r="T38" s="46"/>
      <c r="U38" s="46"/>
      <c r="V38" s="46"/>
    </row>
    <row r="39" spans="1:22" ht="11.25">
      <c r="A39" s="20"/>
      <c r="B39" s="22"/>
      <c r="C39" s="4"/>
      <c r="D39" s="48"/>
      <c r="E39" s="49"/>
      <c r="F39" s="50" t="s">
        <v>65</v>
      </c>
      <c r="G39" s="299">
        <v>265</v>
      </c>
      <c r="H39" s="300"/>
      <c r="I39" s="56"/>
      <c r="J39" s="299">
        <v>425</v>
      </c>
      <c r="K39" s="300"/>
      <c r="L39" s="56"/>
      <c r="M39" s="299">
        <v>375</v>
      </c>
      <c r="N39" s="301"/>
      <c r="O39"/>
      <c r="P39" s="46" t="s">
        <v>73</v>
      </c>
      <c r="Q39" s="47"/>
      <c r="R39" s="47"/>
      <c r="S39" s="46"/>
      <c r="T39" s="46"/>
      <c r="U39" s="46"/>
      <c r="V39" s="46"/>
    </row>
    <row r="40" spans="1:22" ht="11.25">
      <c r="A40" s="20"/>
      <c r="B40" s="22"/>
      <c r="C40" s="4"/>
      <c r="D40" s="48"/>
      <c r="E40" s="49"/>
      <c r="F40" s="50" t="s">
        <v>67</v>
      </c>
      <c r="G40" s="302">
        <v>535</v>
      </c>
      <c r="H40" s="303"/>
      <c r="I40" s="56"/>
      <c r="J40" s="302">
        <v>2080</v>
      </c>
      <c r="K40" s="303"/>
      <c r="L40" s="56"/>
      <c r="M40" s="302">
        <v>960</v>
      </c>
      <c r="N40" s="304"/>
      <c r="O40"/>
      <c r="P40" s="46" t="s">
        <v>75</v>
      </c>
      <c r="Q40" s="47"/>
      <c r="R40" s="47"/>
      <c r="S40" s="46"/>
      <c r="T40" s="46"/>
      <c r="U40" s="46"/>
      <c r="V40" s="46"/>
    </row>
    <row r="41" spans="1:22" ht="11.25">
      <c r="A41" s="20"/>
      <c r="B41" s="22"/>
      <c r="C41" s="4"/>
      <c r="D41" s="48"/>
      <c r="E41" s="49"/>
      <c r="F41" s="50" t="s">
        <v>68</v>
      </c>
      <c r="G41" s="302">
        <v>0</v>
      </c>
      <c r="H41" s="303"/>
      <c r="I41" s="56"/>
      <c r="J41" s="302">
        <v>0</v>
      </c>
      <c r="K41" s="303"/>
      <c r="L41" s="56"/>
      <c r="M41" s="302">
        <v>0</v>
      </c>
      <c r="N41" s="304"/>
      <c r="O41"/>
      <c r="P41" s="46" t="s">
        <v>74</v>
      </c>
      <c r="Q41" s="47"/>
      <c r="R41" s="47"/>
      <c r="S41" s="46"/>
      <c r="T41" s="46"/>
      <c r="U41" s="46"/>
      <c r="V41" s="46"/>
    </row>
    <row r="42" spans="1:18" ht="11.25">
      <c r="A42" s="20"/>
      <c r="B42" s="4"/>
      <c r="C42" s="4"/>
      <c r="D42" s="4"/>
      <c r="E42" s="3"/>
      <c r="F42" s="3"/>
      <c r="G42" s="9"/>
      <c r="H42" s="9"/>
      <c r="I42" s="22"/>
      <c r="J42" s="9"/>
      <c r="K42" s="9"/>
      <c r="L42" s="22"/>
      <c r="M42" s="9"/>
      <c r="N42" s="26"/>
      <c r="O42"/>
      <c r="P42"/>
      <c r="Q42"/>
      <c r="R42"/>
    </row>
    <row r="43" spans="1:18" ht="11.25">
      <c r="A43" s="20"/>
      <c r="B43" s="22"/>
      <c r="C43" s="4"/>
      <c r="D43" s="4"/>
      <c r="E43" s="3"/>
      <c r="F43" s="29" t="s">
        <v>22</v>
      </c>
      <c r="G43" s="302">
        <f>+(G11+G18)/(G33+G34)</f>
        <v>1535.185185185185</v>
      </c>
      <c r="H43" s="303"/>
      <c r="I43" s="22"/>
      <c r="J43" s="302">
        <f>+(J11+J18)/(J33+J34)</f>
        <v>1929</v>
      </c>
      <c r="K43" s="303"/>
      <c r="L43" s="22"/>
      <c r="M43" s="302">
        <f>+(M11+M18)/(M33+M34)</f>
        <v>1125.7731958762888</v>
      </c>
      <c r="N43" s="303"/>
      <c r="O43"/>
      <c r="P43" t="s">
        <v>32</v>
      </c>
      <c r="Q43"/>
      <c r="R43"/>
    </row>
    <row r="44" spans="1:18" ht="11.25">
      <c r="A44" s="20"/>
      <c r="B44" s="22"/>
      <c r="C44" s="4"/>
      <c r="D44" s="4"/>
      <c r="E44" s="3"/>
      <c r="F44" s="29" t="s">
        <v>216</v>
      </c>
      <c r="G44" s="332">
        <f>(G11+G18)/SUM(G33:H36)</f>
        <v>1201.4492753623188</v>
      </c>
      <c r="H44" s="332"/>
      <c r="I44" s="22"/>
      <c r="J44" s="332">
        <f>(J11+J18)/SUM(J33:K36)</f>
        <v>1218.3157894736842</v>
      </c>
      <c r="K44" s="332"/>
      <c r="L44" s="22"/>
      <c r="M44" s="332">
        <f>(M11+M18)/SUM(M33:N36)</f>
        <v>953.7117903930132</v>
      </c>
      <c r="N44" s="332"/>
      <c r="O44"/>
      <c r="P44"/>
      <c r="Q44"/>
      <c r="R44"/>
    </row>
    <row r="45" spans="1:17" ht="11.25">
      <c r="A45" s="20"/>
      <c r="B45" s="4"/>
      <c r="C45" s="4"/>
      <c r="D45" s="4"/>
      <c r="E45" s="3"/>
      <c r="F45" s="3"/>
      <c r="G45" s="34" t="s">
        <v>24</v>
      </c>
      <c r="H45" s="34" t="s">
        <v>23</v>
      </c>
      <c r="I45" s="28"/>
      <c r="J45" s="34" t="s">
        <v>24</v>
      </c>
      <c r="K45" s="34" t="s">
        <v>23</v>
      </c>
      <c r="L45" s="28"/>
      <c r="M45" s="34" t="s">
        <v>24</v>
      </c>
      <c r="N45" s="35" t="s">
        <v>23</v>
      </c>
      <c r="O45" s="14"/>
      <c r="P45" s="13"/>
      <c r="Q45" s="31"/>
    </row>
    <row r="46" spans="1:22" ht="11.25">
      <c r="A46" s="20"/>
      <c r="B46" s="4"/>
      <c r="C46" s="4"/>
      <c r="D46" s="52"/>
      <c r="E46" s="53"/>
      <c r="F46" s="54" t="s">
        <v>25</v>
      </c>
      <c r="G46" s="76">
        <v>5</v>
      </c>
      <c r="H46" s="32">
        <f>G46/(G46+G47+G48+G49)</f>
        <v>0.9090909090909091</v>
      </c>
      <c r="I46" s="28"/>
      <c r="J46" s="76">
        <v>5</v>
      </c>
      <c r="K46" s="32">
        <f>J46/(J46+J47+J48+J49)</f>
        <v>0.9090909090909091</v>
      </c>
      <c r="L46" s="28"/>
      <c r="M46" s="76">
        <v>5</v>
      </c>
      <c r="N46" s="36">
        <f>M46/(M46+M47+M48+M49)</f>
        <v>0.9090909090909091</v>
      </c>
      <c r="O46" s="14"/>
      <c r="P46" s="55" t="s">
        <v>84</v>
      </c>
      <c r="Q46" s="51"/>
      <c r="R46" s="55"/>
      <c r="S46" s="55"/>
      <c r="T46" s="55"/>
      <c r="U46" s="55"/>
      <c r="V46" s="55"/>
    </row>
    <row r="47" spans="1:22" ht="11.25">
      <c r="A47" s="20"/>
      <c r="B47" s="4"/>
      <c r="C47" s="4"/>
      <c r="D47" s="52"/>
      <c r="E47" s="53"/>
      <c r="F47" s="54" t="s">
        <v>13</v>
      </c>
      <c r="G47" s="76">
        <v>0.5</v>
      </c>
      <c r="H47" s="32">
        <f>G47/(G46+G47+G48+G49)</f>
        <v>0.09090909090909091</v>
      </c>
      <c r="I47" s="28"/>
      <c r="J47" s="76">
        <v>0.5</v>
      </c>
      <c r="K47" s="32">
        <f>J47/(J46+J47+J48+J49)</f>
        <v>0.09090909090909091</v>
      </c>
      <c r="L47" s="28"/>
      <c r="M47" s="76">
        <v>0.5</v>
      </c>
      <c r="N47" s="36">
        <f>M47/(M46+M47+M48+M49)</f>
        <v>0.09090909090909091</v>
      </c>
      <c r="O47" s="14"/>
      <c r="P47" s="55" t="s">
        <v>84</v>
      </c>
      <c r="Q47" s="51"/>
      <c r="R47" s="55"/>
      <c r="S47" s="55"/>
      <c r="T47" s="55"/>
      <c r="U47" s="55"/>
      <c r="V47" s="55"/>
    </row>
    <row r="48" spans="1:22" ht="11.25">
      <c r="A48" s="20"/>
      <c r="B48" s="4"/>
      <c r="C48" s="4"/>
      <c r="D48" s="52"/>
      <c r="E48" s="53"/>
      <c r="F48" s="54" t="s">
        <v>51</v>
      </c>
      <c r="G48" s="76">
        <v>0</v>
      </c>
      <c r="H48" s="32">
        <f>G48/(G46+G47+G48+G49)</f>
        <v>0</v>
      </c>
      <c r="I48" s="28"/>
      <c r="J48" s="76">
        <v>0</v>
      </c>
      <c r="K48" s="32">
        <f>J48/(J46+J47+J48+J49)</f>
        <v>0</v>
      </c>
      <c r="L48" s="28"/>
      <c r="M48" s="76">
        <v>0</v>
      </c>
      <c r="N48" s="36">
        <f>M48/(M46+M47+M48+M49)</f>
        <v>0</v>
      </c>
      <c r="O48" s="14"/>
      <c r="P48" s="55" t="s">
        <v>85</v>
      </c>
      <c r="Q48" s="51"/>
      <c r="R48" s="55"/>
      <c r="S48" s="55"/>
      <c r="T48" s="55"/>
      <c r="U48" s="55"/>
      <c r="V48" s="55"/>
    </row>
    <row r="49" spans="1:22" ht="11.25">
      <c r="A49" s="20"/>
      <c r="B49" s="4"/>
      <c r="C49" s="4"/>
      <c r="D49" s="52"/>
      <c r="E49" s="53"/>
      <c r="F49" s="54" t="s">
        <v>52</v>
      </c>
      <c r="G49" s="76">
        <v>0</v>
      </c>
      <c r="H49" s="32">
        <f>G49/(G46+G47+G48+G49)</f>
        <v>0</v>
      </c>
      <c r="I49" s="28"/>
      <c r="J49" s="76">
        <v>0</v>
      </c>
      <c r="K49" s="32">
        <f>J49/(J46+J47+J48+J49)</f>
        <v>0</v>
      </c>
      <c r="L49" s="28"/>
      <c r="M49" s="76">
        <v>0</v>
      </c>
      <c r="N49" s="36">
        <f>M49/(M46+M47+M48+M49)</f>
        <v>0</v>
      </c>
      <c r="O49" s="14"/>
      <c r="P49" s="55" t="s">
        <v>85</v>
      </c>
      <c r="Q49" s="51"/>
      <c r="R49" s="55"/>
      <c r="S49" s="55"/>
      <c r="T49" s="55"/>
      <c r="U49" s="55"/>
      <c r="V49" s="55"/>
    </row>
    <row r="50" spans="1:14" ht="11.25">
      <c r="A50" s="21" t="s">
        <v>4</v>
      </c>
      <c r="B50" s="22"/>
      <c r="C50" s="4"/>
      <c r="D50" s="4"/>
      <c r="E50" s="3"/>
      <c r="F50" s="3"/>
      <c r="G50" s="8"/>
      <c r="H50" s="8"/>
      <c r="I50" s="3"/>
      <c r="J50" s="8"/>
      <c r="K50" s="8"/>
      <c r="L50" s="3"/>
      <c r="M50" s="8"/>
      <c r="N50" s="25"/>
    </row>
    <row r="51" spans="1:16" ht="11.25">
      <c r="A51" s="21"/>
      <c r="B51" s="22"/>
      <c r="C51" s="4"/>
      <c r="D51" s="4"/>
      <c r="E51" s="3"/>
      <c r="F51" s="63" t="s">
        <v>77</v>
      </c>
      <c r="G51" s="293">
        <v>0.888</v>
      </c>
      <c r="H51" s="294"/>
      <c r="I51" s="72"/>
      <c r="J51" s="293">
        <v>0.87</v>
      </c>
      <c r="K51" s="294"/>
      <c r="L51" s="72"/>
      <c r="M51" s="293">
        <v>0.911</v>
      </c>
      <c r="N51" s="295"/>
      <c r="P51" s="10" t="s">
        <v>87</v>
      </c>
    </row>
    <row r="52" spans="1:16" ht="11.25">
      <c r="A52" s="21"/>
      <c r="B52" s="22"/>
      <c r="C52" s="4"/>
      <c r="D52" s="4"/>
      <c r="E52" s="3"/>
      <c r="F52" s="63" t="s">
        <v>76</v>
      </c>
      <c r="G52" s="293">
        <v>0.114</v>
      </c>
      <c r="H52" s="294"/>
      <c r="I52" s="72"/>
      <c r="J52" s="293">
        <v>0.137</v>
      </c>
      <c r="K52" s="294"/>
      <c r="L52" s="72"/>
      <c r="M52" s="293">
        <v>0.102</v>
      </c>
      <c r="N52" s="295"/>
      <c r="P52" s="10" t="s">
        <v>79</v>
      </c>
    </row>
    <row r="53" spans="1:16" ht="11" customHeight="1">
      <c r="A53" s="20"/>
      <c r="B53" s="23"/>
      <c r="C53" s="4"/>
      <c r="D53" s="4"/>
      <c r="E53" s="3"/>
      <c r="F53" s="29" t="s">
        <v>10</v>
      </c>
      <c r="G53" s="296">
        <v>3</v>
      </c>
      <c r="H53" s="297"/>
      <c r="I53" s="3"/>
      <c r="J53" s="296">
        <v>7</v>
      </c>
      <c r="K53" s="297"/>
      <c r="L53" s="3"/>
      <c r="M53" s="296">
        <v>10</v>
      </c>
      <c r="N53" s="298"/>
      <c r="P53" s="10" t="s">
        <v>34</v>
      </c>
    </row>
    <row r="54" spans="1:16" ht="11.25">
      <c r="A54" s="20"/>
      <c r="B54" s="23"/>
      <c r="C54" s="4"/>
      <c r="D54" s="4"/>
      <c r="E54" s="3"/>
      <c r="F54" s="29" t="s">
        <v>8</v>
      </c>
      <c r="G54" s="296">
        <v>24</v>
      </c>
      <c r="H54" s="297"/>
      <c r="I54" s="14"/>
      <c r="J54" s="296">
        <v>32</v>
      </c>
      <c r="K54" s="297"/>
      <c r="L54" s="14"/>
      <c r="M54" s="296">
        <v>18</v>
      </c>
      <c r="N54" s="298"/>
      <c r="P54" s="10" t="s">
        <v>36</v>
      </c>
    </row>
    <row r="55" spans="1:16" ht="11.25">
      <c r="A55" s="20"/>
      <c r="B55" s="23"/>
      <c r="C55" s="4"/>
      <c r="D55" s="4"/>
      <c r="E55" s="3"/>
      <c r="F55" s="42" t="s">
        <v>11</v>
      </c>
      <c r="G55" s="296">
        <v>21.4</v>
      </c>
      <c r="H55" s="297"/>
      <c r="I55" s="3"/>
      <c r="J55" s="296">
        <v>23.4</v>
      </c>
      <c r="K55" s="297"/>
      <c r="L55" s="3"/>
      <c r="M55" s="296">
        <v>22.1</v>
      </c>
      <c r="N55" s="298"/>
      <c r="P55" s="10" t="s">
        <v>42</v>
      </c>
    </row>
    <row r="56" spans="1:19" ht="11.25">
      <c r="A56" s="20"/>
      <c r="B56" s="22"/>
      <c r="C56" s="4"/>
      <c r="D56" s="4"/>
      <c r="E56" s="3"/>
      <c r="F56" s="29" t="s">
        <v>9</v>
      </c>
      <c r="G56" s="293">
        <v>0.67</v>
      </c>
      <c r="H56" s="294"/>
      <c r="I56" s="3"/>
      <c r="J56" s="293">
        <v>0.73</v>
      </c>
      <c r="K56" s="294"/>
      <c r="L56" s="3"/>
      <c r="M56" s="293">
        <v>0.57</v>
      </c>
      <c r="N56" s="295"/>
      <c r="P56" s="10" t="s">
        <v>37</v>
      </c>
      <c r="Q56"/>
      <c r="R56"/>
      <c r="S56"/>
    </row>
    <row r="57" spans="1:19" ht="11.25">
      <c r="A57" s="20"/>
      <c r="B57" s="22"/>
      <c r="C57" s="4"/>
      <c r="D57" s="4"/>
      <c r="E57" s="27"/>
      <c r="F57" s="29" t="s">
        <v>12</v>
      </c>
      <c r="G57" s="296">
        <v>1</v>
      </c>
      <c r="H57" s="297"/>
      <c r="I57" s="28"/>
      <c r="J57" s="296">
        <v>2</v>
      </c>
      <c r="K57" s="297"/>
      <c r="L57" s="28"/>
      <c r="M57" s="296">
        <v>2</v>
      </c>
      <c r="N57" s="298"/>
      <c r="P57" s="10" t="s">
        <v>38</v>
      </c>
      <c r="Q57"/>
      <c r="R57"/>
      <c r="S57"/>
    </row>
    <row r="58" spans="1:19" ht="11.25">
      <c r="A58" s="20"/>
      <c r="B58" s="22"/>
      <c r="C58" s="4"/>
      <c r="D58" s="4"/>
      <c r="E58" s="3"/>
      <c r="F58" s="29" t="s">
        <v>19</v>
      </c>
      <c r="G58" s="293">
        <v>0.108</v>
      </c>
      <c r="H58" s="294"/>
      <c r="I58" s="28"/>
      <c r="J58" s="293">
        <v>0.191</v>
      </c>
      <c r="K58" s="294"/>
      <c r="L58" s="28"/>
      <c r="M58" s="293">
        <v>0.34</v>
      </c>
      <c r="N58" s="295"/>
      <c r="P58" s="10" t="s">
        <v>39</v>
      </c>
      <c r="Q58"/>
      <c r="R58"/>
      <c r="S58"/>
    </row>
    <row r="59" spans="1:19" ht="11.25">
      <c r="A59" s="20"/>
      <c r="B59" s="22"/>
      <c r="C59" s="4"/>
      <c r="D59" s="4"/>
      <c r="E59" s="3"/>
      <c r="F59" s="29" t="s">
        <v>0</v>
      </c>
      <c r="G59" s="293">
        <v>-0.178</v>
      </c>
      <c r="H59" s="294"/>
      <c r="I59" s="28"/>
      <c r="J59" s="293">
        <v>-0.051</v>
      </c>
      <c r="K59" s="294"/>
      <c r="L59" s="28"/>
      <c r="M59" s="293">
        <v>0.092</v>
      </c>
      <c r="N59" s="295"/>
      <c r="P59" s="10" t="s">
        <v>40</v>
      </c>
      <c r="Q59"/>
      <c r="R59"/>
      <c r="S59"/>
    </row>
    <row r="60" spans="1:14" ht="11.25">
      <c r="A60" s="21" t="s">
        <v>1</v>
      </c>
      <c r="B60" s="28"/>
      <c r="C60" s="28"/>
      <c r="D60" s="28"/>
      <c r="E60" s="28"/>
      <c r="F60" s="28"/>
      <c r="G60" s="28"/>
      <c r="H60" s="28"/>
      <c r="I60" s="28"/>
      <c r="J60" s="28"/>
      <c r="K60" s="28"/>
      <c r="L60" s="28"/>
      <c r="M60" s="28"/>
      <c r="N60" s="33"/>
    </row>
    <row r="61" spans="1:16" ht="11.25">
      <c r="A61" s="37"/>
      <c r="B61" s="28"/>
      <c r="C61" s="28"/>
      <c r="D61" s="28"/>
      <c r="E61" s="28"/>
      <c r="F61" s="28"/>
      <c r="G61" s="28"/>
      <c r="H61" s="28"/>
      <c r="I61" s="28"/>
      <c r="J61" s="28"/>
      <c r="K61" s="28"/>
      <c r="L61" s="28"/>
      <c r="M61" s="28"/>
      <c r="N61" s="33"/>
      <c r="P61" t="s">
        <v>35</v>
      </c>
    </row>
    <row r="62" spans="1:14" ht="11.25">
      <c r="A62" s="37" t="s">
        <v>129</v>
      </c>
      <c r="B62" s="23"/>
      <c r="C62" s="23"/>
      <c r="D62" s="23"/>
      <c r="E62" s="23"/>
      <c r="F62" s="23"/>
      <c r="G62" s="23"/>
      <c r="H62" s="23"/>
      <c r="I62" s="23"/>
      <c r="J62" s="23"/>
      <c r="K62" s="23"/>
      <c r="L62" s="23"/>
      <c r="M62" s="23"/>
      <c r="N62" s="24"/>
    </row>
    <row r="63" spans="1:14" ht="11.25">
      <c r="A63" s="38"/>
      <c r="B63" s="23"/>
      <c r="C63" s="23"/>
      <c r="D63" s="23"/>
      <c r="E63" s="23"/>
      <c r="F63" s="23"/>
      <c r="G63" s="23"/>
      <c r="H63" s="23"/>
      <c r="I63" s="23"/>
      <c r="J63" s="23"/>
      <c r="K63" s="23"/>
      <c r="L63" s="23"/>
      <c r="M63" s="23"/>
      <c r="N63" s="24"/>
    </row>
    <row r="64" spans="1:16" ht="11.25">
      <c r="A64" s="38"/>
      <c r="B64" s="23"/>
      <c r="C64" s="23"/>
      <c r="D64" s="23"/>
      <c r="E64" s="23"/>
      <c r="F64" s="23"/>
      <c r="G64" s="23"/>
      <c r="H64" s="23"/>
      <c r="I64" s="23"/>
      <c r="J64" s="23"/>
      <c r="K64" s="23"/>
      <c r="L64" s="23"/>
      <c r="M64" s="23"/>
      <c r="N64" s="24"/>
      <c r="P64" s="44" t="s">
        <v>41</v>
      </c>
    </row>
    <row r="65" spans="1:14" ht="11.25">
      <c r="A65" s="38"/>
      <c r="B65" s="23"/>
      <c r="C65" s="23"/>
      <c r="D65" s="23"/>
      <c r="E65" s="23"/>
      <c r="F65" s="23"/>
      <c r="G65" s="23"/>
      <c r="H65" s="23"/>
      <c r="I65" s="23"/>
      <c r="J65" s="23"/>
      <c r="K65" s="23"/>
      <c r="L65" s="23"/>
      <c r="M65" s="23"/>
      <c r="N65" s="24"/>
    </row>
    <row r="66" spans="1:14" ht="12.75" thickBot="1">
      <c r="A66" s="39"/>
      <c r="B66" s="40"/>
      <c r="C66" s="40"/>
      <c r="D66" s="40"/>
      <c r="E66" s="40"/>
      <c r="F66" s="40"/>
      <c r="G66" s="40"/>
      <c r="H66" s="40"/>
      <c r="I66" s="40"/>
      <c r="J66" s="40"/>
      <c r="K66" s="40"/>
      <c r="L66" s="40"/>
      <c r="M66" s="40"/>
      <c r="N66" s="41"/>
    </row>
  </sheetData>
  <mergeCells count="122">
    <mergeCell ref="G5:H5"/>
    <mergeCell ref="G6:H6"/>
    <mergeCell ref="G7:H7"/>
    <mergeCell ref="G8:H8"/>
    <mergeCell ref="G9:H9"/>
    <mergeCell ref="J9:K9"/>
    <mergeCell ref="G2:N2"/>
    <mergeCell ref="G3:H3"/>
    <mergeCell ref="J3:K3"/>
    <mergeCell ref="M3:N3"/>
    <mergeCell ref="G4:H4"/>
    <mergeCell ref="J4:K4"/>
    <mergeCell ref="M4:N4"/>
    <mergeCell ref="G13:H13"/>
    <mergeCell ref="J13:K13"/>
    <mergeCell ref="M13:N13"/>
    <mergeCell ref="G14:H14"/>
    <mergeCell ref="J14:K14"/>
    <mergeCell ref="M14:N14"/>
    <mergeCell ref="M9:N9"/>
    <mergeCell ref="G11:H11"/>
    <mergeCell ref="J11:K11"/>
    <mergeCell ref="M11:N11"/>
    <mergeCell ref="G12:H12"/>
    <mergeCell ref="J12:K12"/>
    <mergeCell ref="M12:N12"/>
    <mergeCell ref="G18:H18"/>
    <mergeCell ref="J18:K18"/>
    <mergeCell ref="M18:N18"/>
    <mergeCell ref="G19:H19"/>
    <mergeCell ref="J19:K19"/>
    <mergeCell ref="M19:N19"/>
    <mergeCell ref="G15:H15"/>
    <mergeCell ref="J15:K15"/>
    <mergeCell ref="M15:N15"/>
    <mergeCell ref="G16:H16"/>
    <mergeCell ref="J16:K16"/>
    <mergeCell ref="M16:N16"/>
    <mergeCell ref="G22:H22"/>
    <mergeCell ref="J22:K22"/>
    <mergeCell ref="M22:N22"/>
    <mergeCell ref="G24:H24"/>
    <mergeCell ref="J24:K24"/>
    <mergeCell ref="M24:N24"/>
    <mergeCell ref="G20:H20"/>
    <mergeCell ref="J20:K20"/>
    <mergeCell ref="M20:N20"/>
    <mergeCell ref="G21:H21"/>
    <mergeCell ref="J21:K21"/>
    <mergeCell ref="M21:N21"/>
    <mergeCell ref="G28:H28"/>
    <mergeCell ref="J28:K28"/>
    <mergeCell ref="M28:N28"/>
    <mergeCell ref="G29:H29"/>
    <mergeCell ref="J29:K29"/>
    <mergeCell ref="M29:N29"/>
    <mergeCell ref="G25:H25"/>
    <mergeCell ref="J25:K25"/>
    <mergeCell ref="M25:N25"/>
    <mergeCell ref="G27:H27"/>
    <mergeCell ref="J27:K27"/>
    <mergeCell ref="M27:N27"/>
    <mergeCell ref="G34:H34"/>
    <mergeCell ref="J34:K34"/>
    <mergeCell ref="M34:N34"/>
    <mergeCell ref="G35:H35"/>
    <mergeCell ref="J35:K35"/>
    <mergeCell ref="M35:N35"/>
    <mergeCell ref="G31:H31"/>
    <mergeCell ref="J31:K31"/>
    <mergeCell ref="M31:N31"/>
    <mergeCell ref="G33:H33"/>
    <mergeCell ref="J33:K33"/>
    <mergeCell ref="M33:N33"/>
    <mergeCell ref="G39:H39"/>
    <mergeCell ref="J39:K39"/>
    <mergeCell ref="M39:N39"/>
    <mergeCell ref="G40:H40"/>
    <mergeCell ref="J40:K40"/>
    <mergeCell ref="M40:N40"/>
    <mergeCell ref="G36:H36"/>
    <mergeCell ref="J36:K36"/>
    <mergeCell ref="M36:N36"/>
    <mergeCell ref="G38:H38"/>
    <mergeCell ref="J38:K38"/>
    <mergeCell ref="M38:N38"/>
    <mergeCell ref="G51:H51"/>
    <mergeCell ref="J51:K51"/>
    <mergeCell ref="M51:N51"/>
    <mergeCell ref="G52:H52"/>
    <mergeCell ref="J52:K52"/>
    <mergeCell ref="M52:N52"/>
    <mergeCell ref="G41:H41"/>
    <mergeCell ref="J41:K41"/>
    <mergeCell ref="M41:N41"/>
    <mergeCell ref="G43:H43"/>
    <mergeCell ref="J43:K43"/>
    <mergeCell ref="M43:N43"/>
    <mergeCell ref="G59:H59"/>
    <mergeCell ref="J59:K59"/>
    <mergeCell ref="M59:N59"/>
    <mergeCell ref="G44:H44"/>
    <mergeCell ref="J44:K44"/>
    <mergeCell ref="M44:N44"/>
    <mergeCell ref="G57:H57"/>
    <mergeCell ref="J57:K57"/>
    <mergeCell ref="M57:N57"/>
    <mergeCell ref="G58:H58"/>
    <mergeCell ref="J58:K58"/>
    <mergeCell ref="M58:N58"/>
    <mergeCell ref="G55:H55"/>
    <mergeCell ref="J55:K55"/>
    <mergeCell ref="M55:N55"/>
    <mergeCell ref="G56:H56"/>
    <mergeCell ref="J56:K56"/>
    <mergeCell ref="M56:N56"/>
    <mergeCell ref="G53:H53"/>
    <mergeCell ref="J53:K53"/>
    <mergeCell ref="M53:N53"/>
    <mergeCell ref="G54:H54"/>
    <mergeCell ref="J54:K54"/>
    <mergeCell ref="M54:N54"/>
  </mergeCells>
  <printOptions/>
  <pageMargins left="0.25" right="0.25" top="0.75" bottom="0.75" header="0.3" footer="0.3"/>
  <pageSetup fitToHeight="1" fitToWidth="1" horizontalDpi="1200" verticalDpi="1200" orientation="portrait" scale="94" r:id="rId3"/>
  <colBreaks count="1" manualBreakCount="1">
    <brk id="14" max="16383"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U48"/>
  <sheetViews>
    <sheetView workbookViewId="0" topLeftCell="A7">
      <selection activeCell="E49" sqref="E49"/>
    </sheetView>
  </sheetViews>
  <sheetFormatPr defaultColWidth="9.00390625" defaultRowHeight="11.25"/>
  <cols>
    <col min="1" max="1" width="21.375" style="12" customWidth="1"/>
    <col min="2" max="2" width="7.125" style="0" customWidth="1"/>
    <col min="3" max="3" width="7.125" style="83" customWidth="1"/>
    <col min="4" max="4" width="7.125" style="88" customWidth="1"/>
    <col min="5" max="6" width="7.125" style="96" customWidth="1"/>
    <col min="7" max="7" width="7.125" style="90" customWidth="1"/>
    <col min="8" max="8" width="7.125" style="0" customWidth="1"/>
    <col min="9" max="9" width="7.125" style="86" customWidth="1"/>
    <col min="10" max="10" width="7.125" style="0" customWidth="1"/>
    <col min="11" max="12" width="7.125" style="96" customWidth="1"/>
    <col min="13" max="14" width="7.125" style="0" customWidth="1"/>
    <col min="15" max="15" width="7.125" style="86" customWidth="1"/>
    <col min="16" max="16" width="7.125" style="0" customWidth="1"/>
    <col min="17" max="18" width="7.125" style="96" customWidth="1"/>
    <col min="19" max="19" width="7.125" style="0" customWidth="1"/>
    <col min="21" max="21" width="9.625" style="0" bestFit="1" customWidth="1"/>
    <col min="22" max="22" width="11.75390625" style="0" bestFit="1" customWidth="1"/>
    <col min="23" max="23" width="12.875" style="0" bestFit="1" customWidth="1"/>
    <col min="24" max="24" width="7.875" style="0" bestFit="1" customWidth="1"/>
    <col min="25" max="25" width="7.625" style="0" bestFit="1" customWidth="1"/>
  </cols>
  <sheetData>
    <row r="1" ht="12.75" thickBot="1"/>
    <row r="2" spans="2:19" ht="12.75" thickBot="1">
      <c r="B2" s="286" t="s">
        <v>212</v>
      </c>
      <c r="C2" s="287"/>
      <c r="D2" s="287"/>
      <c r="E2" s="287"/>
      <c r="F2" s="287"/>
      <c r="G2" s="288"/>
      <c r="H2" s="286" t="s">
        <v>213</v>
      </c>
      <c r="I2" s="287"/>
      <c r="J2" s="287"/>
      <c r="K2" s="287"/>
      <c r="L2" s="287"/>
      <c r="M2" s="288"/>
      <c r="N2" s="286" t="s">
        <v>214</v>
      </c>
      <c r="O2" s="287"/>
      <c r="P2" s="287"/>
      <c r="Q2" s="287"/>
      <c r="R2" s="287"/>
      <c r="S2" s="288"/>
    </row>
    <row r="3" spans="2:19" ht="125.5">
      <c r="B3" s="108" t="s">
        <v>184</v>
      </c>
      <c r="C3" s="122" t="s">
        <v>186</v>
      </c>
      <c r="D3" s="123" t="s">
        <v>183</v>
      </c>
      <c r="E3" s="111" t="s">
        <v>185</v>
      </c>
      <c r="F3" s="111" t="s">
        <v>222</v>
      </c>
      <c r="G3" s="124" t="s">
        <v>182</v>
      </c>
      <c r="H3" s="108" t="s">
        <v>184</v>
      </c>
      <c r="I3" s="121" t="s">
        <v>186</v>
      </c>
      <c r="J3" s="110" t="s">
        <v>183</v>
      </c>
      <c r="K3" s="111" t="s">
        <v>185</v>
      </c>
      <c r="L3" s="111" t="s">
        <v>222</v>
      </c>
      <c r="M3" s="112" t="s">
        <v>182</v>
      </c>
      <c r="N3" s="108" t="s">
        <v>184</v>
      </c>
      <c r="O3" s="121" t="s">
        <v>186</v>
      </c>
      <c r="P3" s="110" t="s">
        <v>183</v>
      </c>
      <c r="Q3" s="111" t="s">
        <v>185</v>
      </c>
      <c r="R3" s="111" t="s">
        <v>222</v>
      </c>
      <c r="S3" s="112" t="s">
        <v>182</v>
      </c>
    </row>
    <row r="4" spans="1:19" ht="11.25">
      <c r="A4" s="279" t="s">
        <v>93</v>
      </c>
      <c r="B4" s="37">
        <f>+Accounting!$G$57</f>
        <v>3</v>
      </c>
      <c r="C4" s="84">
        <f>Accounting!$G$58</f>
        <v>0.075</v>
      </c>
      <c r="D4" s="100">
        <f>Accounting!$G$55</f>
        <v>25.4</v>
      </c>
      <c r="E4" s="97">
        <f>Accounting!$G$54</f>
        <v>26</v>
      </c>
      <c r="F4" s="84">
        <f>E4/D4</f>
        <v>1.0236220472440944</v>
      </c>
      <c r="G4" s="91">
        <f>Accounting!$G$53</f>
        <v>2</v>
      </c>
      <c r="H4" s="37">
        <f>+Accounting!$J$57</f>
        <v>6</v>
      </c>
      <c r="I4" s="87">
        <f>+Accounting!$J$58</f>
        <v>0.126</v>
      </c>
      <c r="J4" s="89">
        <f>+Accounting!$J$55</f>
        <v>26.6</v>
      </c>
      <c r="K4" s="97">
        <f>+Accounting!$J$54</f>
        <v>25</v>
      </c>
      <c r="L4" s="84">
        <f>K4/J4</f>
        <v>0.9398496240601504</v>
      </c>
      <c r="M4" s="33">
        <f>+Accounting!$J$53</f>
        <v>4</v>
      </c>
      <c r="N4" s="37">
        <f>+Accounting!$M$57</f>
        <v>1</v>
      </c>
      <c r="O4" s="87">
        <f>+Accounting!$M$58</f>
        <v>0.013</v>
      </c>
      <c r="P4" s="89">
        <f>Accounting!$M$55</f>
        <v>27.4</v>
      </c>
      <c r="Q4" s="97">
        <f>+Accounting!$M$54</f>
        <v>32</v>
      </c>
      <c r="R4" s="84">
        <f>Q4/P4</f>
        <v>1.1678832116788322</v>
      </c>
      <c r="S4" s="33">
        <f>Accounting!$M$53</f>
        <v>3</v>
      </c>
    </row>
    <row r="5" spans="1:21" ht="11.25">
      <c r="A5" s="12" t="s">
        <v>96</v>
      </c>
      <c r="B5" s="37">
        <f>'American Indian Studies'!$G$57</f>
        <v>1</v>
      </c>
      <c r="C5" s="84">
        <f>'American Indian Studies'!$G$58</f>
        <v>0.591</v>
      </c>
      <c r="D5" s="100">
        <f>'American Indian Studies'!$G$55</f>
        <v>26.9</v>
      </c>
      <c r="E5" s="98">
        <f>'American Indian Studies'!$G$54</f>
        <v>5</v>
      </c>
      <c r="F5" s="84">
        <f aca="true" t="shared" si="0" ref="F5:F44">E5/D5</f>
        <v>0.1858736059479554</v>
      </c>
      <c r="G5" s="93">
        <f>'American Indian Studies'!$G$53</f>
        <v>0</v>
      </c>
      <c r="H5" s="37">
        <f>'American Indian Studies'!$J$57</f>
        <v>1</v>
      </c>
      <c r="I5" s="84">
        <f>'American Indian Studies'!$J$58</f>
        <v>0.4</v>
      </c>
      <c r="J5" s="100">
        <f>'American Indian Studies'!$J$55</f>
        <v>24</v>
      </c>
      <c r="K5" s="98">
        <f>'American Indian Studies'!$J$54</f>
        <v>10</v>
      </c>
      <c r="L5" s="84">
        <f aca="true" t="shared" si="1" ref="L5:L44">K5/J5</f>
        <v>0.4166666666666667</v>
      </c>
      <c r="M5" s="93">
        <f>'American Indian Studies'!$J$53</f>
        <v>1</v>
      </c>
      <c r="N5" s="37">
        <f>'American Indian Studies'!$M$57</f>
        <v>0</v>
      </c>
      <c r="O5" s="84">
        <f>'American Indian Studies'!$M$58</f>
        <v>0.353</v>
      </c>
      <c r="P5" s="100">
        <f>'American Indian Studies'!$M$55</f>
        <v>25.7</v>
      </c>
      <c r="Q5" s="98">
        <f>'American Indian Studies'!$M$54</f>
        <v>12</v>
      </c>
      <c r="R5" s="84">
        <f aca="true" t="shared" si="2" ref="R5:R44">Q5/P5</f>
        <v>0.4669260700389105</v>
      </c>
      <c r="S5" s="93">
        <f>'American Indian Studies'!$M$53</f>
        <v>1</v>
      </c>
      <c r="U5" s="126"/>
    </row>
    <row r="6" spans="1:19" ht="11.25">
      <c r="A6" s="279" t="s">
        <v>187</v>
      </c>
      <c r="B6" s="37">
        <f>Art!$G$57</f>
        <v>2</v>
      </c>
      <c r="C6" s="84">
        <f>Art!$G$58</f>
        <v>0.18</v>
      </c>
      <c r="D6" s="100">
        <f>Art!$G$55</f>
        <v>15.7</v>
      </c>
      <c r="E6" s="98">
        <f>Art!$G$54</f>
        <v>16</v>
      </c>
      <c r="F6" s="84">
        <f t="shared" si="0"/>
        <v>1.019108280254777</v>
      </c>
      <c r="G6" s="93">
        <f>Art!$G$53</f>
        <v>17</v>
      </c>
      <c r="H6" s="37">
        <f>Art!$J$57</f>
        <v>1</v>
      </c>
      <c r="I6" s="84">
        <f>Art!$J$58</f>
        <v>0.141</v>
      </c>
      <c r="J6" s="100">
        <f>Art!$J$55</f>
        <v>15.2</v>
      </c>
      <c r="K6" s="98">
        <f>Art!$J$54</f>
        <v>16</v>
      </c>
      <c r="L6" s="84">
        <f t="shared" si="1"/>
        <v>1.0526315789473684</v>
      </c>
      <c r="M6" s="93">
        <f>Art!$J$53</f>
        <v>14</v>
      </c>
      <c r="N6" s="37">
        <f>Art!$M$57</f>
        <v>0</v>
      </c>
      <c r="O6" s="84">
        <f>Art!$M$58</f>
        <v>0.2</v>
      </c>
      <c r="P6" s="100">
        <f>Art!$M$55</f>
        <v>14.6</v>
      </c>
      <c r="Q6" s="98">
        <f>Art!$M$54</f>
        <v>15</v>
      </c>
      <c r="R6" s="84">
        <f t="shared" si="2"/>
        <v>1.0273972602739727</v>
      </c>
      <c r="S6" s="93">
        <f>Art!$M$53</f>
        <v>11</v>
      </c>
    </row>
    <row r="7" spans="1:19" ht="11.25">
      <c r="A7" s="279" t="s">
        <v>188</v>
      </c>
      <c r="B7" s="37">
        <f>Biology!$G$57</f>
        <v>3</v>
      </c>
      <c r="C7" s="84">
        <f>Biology!$G$58</f>
        <v>0.079</v>
      </c>
      <c r="D7" s="100">
        <f>Biology!$G$55</f>
        <v>22.1</v>
      </c>
      <c r="E7" s="98">
        <f>Biology!$G$54</f>
        <v>23</v>
      </c>
      <c r="F7" s="84">
        <f t="shared" si="0"/>
        <v>1.0407239819004523</v>
      </c>
      <c r="G7" s="93">
        <f>Biology!$G$53</f>
        <v>15</v>
      </c>
      <c r="H7" s="37">
        <f>Biology!$J$57</f>
        <v>3</v>
      </c>
      <c r="I7" s="84">
        <f>Biology!$J$58</f>
        <v>0.169</v>
      </c>
      <c r="J7" s="100">
        <f>Biology!$J$55</f>
        <v>22.8</v>
      </c>
      <c r="K7" s="98">
        <f>Biology!$J$54</f>
        <v>23</v>
      </c>
      <c r="L7" s="84">
        <f t="shared" si="1"/>
        <v>1.0087719298245614</v>
      </c>
      <c r="M7" s="93">
        <f>Biology!$J$53</f>
        <v>21</v>
      </c>
      <c r="N7" s="37">
        <f>Biology!$M$57</f>
        <v>7</v>
      </c>
      <c r="O7" s="84">
        <f>Biology!$M$58</f>
        <v>0.132</v>
      </c>
      <c r="P7" s="100">
        <f>Biology!$M$55</f>
        <v>22.4</v>
      </c>
      <c r="Q7" s="98">
        <f>Biology!$M$54</f>
        <v>23</v>
      </c>
      <c r="R7" s="84">
        <f t="shared" si="2"/>
        <v>1.0267857142857144</v>
      </c>
      <c r="S7" s="93">
        <f>Biology!$M$53</f>
        <v>12</v>
      </c>
    </row>
    <row r="8" spans="1:19" ht="11.25">
      <c r="A8" s="279" t="s">
        <v>189</v>
      </c>
      <c r="B8" s="37">
        <f>Chemistry!$G$57</f>
        <v>2</v>
      </c>
      <c r="C8" s="84">
        <f>Chemistry!$G$58</f>
        <v>0.096</v>
      </c>
      <c r="D8" s="100">
        <f>Chemistry!$G$55</f>
        <v>21.4</v>
      </c>
      <c r="E8" s="98">
        <f>Chemistry!$G$54</f>
        <v>44</v>
      </c>
      <c r="F8" s="84">
        <f t="shared" si="0"/>
        <v>2.0560747663551404</v>
      </c>
      <c r="G8" s="93">
        <f>Chemistry!$G$53</f>
        <v>6</v>
      </c>
      <c r="H8" s="37">
        <f>Chemistry!$J$57</f>
        <v>1</v>
      </c>
      <c r="I8" s="84">
        <f>Chemistry!$J$58</f>
        <v>0.12</v>
      </c>
      <c r="J8" s="100">
        <f>Chemistry!$J$55</f>
        <v>24.9</v>
      </c>
      <c r="K8" s="98">
        <f>Chemistry!$J$54</f>
        <v>50</v>
      </c>
      <c r="L8" s="84">
        <f t="shared" si="1"/>
        <v>2.0080321285140563</v>
      </c>
      <c r="M8" s="93">
        <f>Chemistry!$J$53</f>
        <v>10</v>
      </c>
      <c r="N8" s="37">
        <f>Chemistry!$M$57</f>
        <v>1</v>
      </c>
      <c r="O8" s="84">
        <f>Chemistry!$M$58</f>
        <v>0.111</v>
      </c>
      <c r="P8" s="100">
        <f>Chemistry!$M$55</f>
        <v>21.6</v>
      </c>
      <c r="Q8" s="98">
        <f>Chemistry!$M$54</f>
        <v>49</v>
      </c>
      <c r="R8" s="84">
        <f t="shared" si="2"/>
        <v>2.268518518518518</v>
      </c>
      <c r="S8" s="93">
        <f>Chemistry!$M$53</f>
        <v>8</v>
      </c>
    </row>
    <row r="9" spans="1:19" ht="11.25">
      <c r="A9" s="12" t="s">
        <v>190</v>
      </c>
      <c r="B9" s="37">
        <f>Chicanx!$G$57</f>
        <v>0</v>
      </c>
      <c r="C9" s="84">
        <f>Chicanx!$G$58</f>
        <v>0.2</v>
      </c>
      <c r="D9" s="100">
        <f>Chicanx!$G$55</f>
        <v>26.9</v>
      </c>
      <c r="E9" s="98">
        <f>Chicanx!$G$54</f>
        <v>35</v>
      </c>
      <c r="F9" s="84">
        <f t="shared" si="0"/>
        <v>1.3011152416356877</v>
      </c>
      <c r="G9" s="93">
        <f>Chicanx!$G$53</f>
        <v>0</v>
      </c>
      <c r="H9" s="37">
        <f>Chicanx!$J$57</f>
        <v>0</v>
      </c>
      <c r="I9" s="84">
        <f>Chicanx!$J$58</f>
        <v>0.188</v>
      </c>
      <c r="J9" s="100">
        <f>Chicanx!$J$55</f>
        <v>24</v>
      </c>
      <c r="K9" s="98">
        <f>Chicanx!$J$54</f>
        <v>26</v>
      </c>
      <c r="L9" s="84">
        <f t="shared" si="1"/>
        <v>1.0833333333333333</v>
      </c>
      <c r="M9" s="93">
        <f>Chicanx!$J$53</f>
        <v>0</v>
      </c>
      <c r="N9" s="37">
        <f>Chicanx!$M$57</f>
        <v>0</v>
      </c>
      <c r="O9" s="84">
        <f>Chicanx!$M$58</f>
        <v>0.083</v>
      </c>
      <c r="P9" s="100">
        <f>Chicanx!$M$55</f>
        <v>25.7</v>
      </c>
      <c r="Q9" s="98">
        <f>Chicanx!$M$54</f>
        <v>47</v>
      </c>
      <c r="R9" s="84">
        <f t="shared" si="2"/>
        <v>1.828793774319066</v>
      </c>
      <c r="S9" s="93">
        <f>Chicanx!$M$53</f>
        <v>0</v>
      </c>
    </row>
    <row r="10" spans="1:21" ht="11.25">
      <c r="A10" s="279" t="s">
        <v>191</v>
      </c>
      <c r="B10" s="37">
        <f>CDST!$G$57</f>
        <v>7</v>
      </c>
      <c r="C10" s="84">
        <f>CDST!$G$58</f>
        <v>0.436</v>
      </c>
      <c r="D10" s="100">
        <f>CDST!$G$55</f>
        <v>25.5</v>
      </c>
      <c r="E10" s="98">
        <f>CDST!$G$54</f>
        <v>10</v>
      </c>
      <c r="F10" s="84">
        <f t="shared" si="0"/>
        <v>0.39215686274509803</v>
      </c>
      <c r="G10" s="93">
        <f>CDST!$G$53</f>
        <v>1</v>
      </c>
      <c r="H10" s="37">
        <f>CDST!$J$57</f>
        <v>0</v>
      </c>
      <c r="I10" s="84">
        <f>CDST!$J$58</f>
        <v>0.2</v>
      </c>
      <c r="J10" s="100">
        <f>CDST!$J$55</f>
        <v>27</v>
      </c>
      <c r="K10" s="98">
        <f>CDST!$J$54</f>
        <v>13</v>
      </c>
      <c r="L10" s="84">
        <f t="shared" si="1"/>
        <v>0.48148148148148145</v>
      </c>
      <c r="M10" s="93">
        <f>CDST!$J$53</f>
        <v>2</v>
      </c>
      <c r="N10" s="37">
        <f>CDST!$M$57</f>
        <v>1</v>
      </c>
      <c r="O10" s="84">
        <f>CDST!$M$58</f>
        <v>0.133</v>
      </c>
      <c r="P10" s="100">
        <f>CDST!$M$55</f>
        <v>24</v>
      </c>
      <c r="Q10" s="98">
        <f>CDST!$M$54</f>
        <v>18</v>
      </c>
      <c r="R10" s="84">
        <f t="shared" si="2"/>
        <v>0.75</v>
      </c>
      <c r="S10" s="93">
        <f>CDST!$M$53</f>
        <v>6</v>
      </c>
      <c r="U10" s="126"/>
    </row>
    <row r="11" spans="1:19" ht="11.25">
      <c r="A11" s="279" t="s">
        <v>192</v>
      </c>
      <c r="B11" s="37">
        <f>CMST!$G$57</f>
        <v>0</v>
      </c>
      <c r="C11" s="84">
        <f>CMST!$G$58</f>
        <v>0.038</v>
      </c>
      <c r="D11" s="100">
        <f>CMST!$G$55</f>
        <v>19.1</v>
      </c>
      <c r="E11" s="98">
        <f>CMST!$G$54</f>
        <v>26</v>
      </c>
      <c r="F11" s="84">
        <f t="shared" si="0"/>
        <v>1.3612565445026177</v>
      </c>
      <c r="G11" s="93">
        <f>CMST!$G$53</f>
        <v>25</v>
      </c>
      <c r="H11" s="37">
        <f>CMST!$J$57</f>
        <v>1</v>
      </c>
      <c r="I11" s="84">
        <f>CMST!$J$58</f>
        <v>0.084</v>
      </c>
      <c r="J11" s="100">
        <f>CMST!$J$55</f>
        <v>18.9</v>
      </c>
      <c r="K11" s="98">
        <f>CMST!$J$54</f>
        <v>25</v>
      </c>
      <c r="L11" s="84">
        <f t="shared" si="1"/>
        <v>1.3227513227513228</v>
      </c>
      <c r="M11" s="93">
        <f>CMST!$J$53</f>
        <v>17</v>
      </c>
      <c r="N11" s="37">
        <f>CMST!$M$57</f>
        <v>0</v>
      </c>
      <c r="O11" s="84">
        <f>CMST!$M$58</f>
        <v>0.049</v>
      </c>
      <c r="P11" s="100">
        <f>CMST!$M$55</f>
        <v>18.5</v>
      </c>
      <c r="Q11" s="98">
        <f>CMST!$M$54</f>
        <v>26</v>
      </c>
      <c r="R11" s="84">
        <f t="shared" si="2"/>
        <v>1.4054054054054055</v>
      </c>
      <c r="S11" s="93">
        <f>CMST!$M$53</f>
        <v>14</v>
      </c>
    </row>
    <row r="12" spans="1:19" ht="11.25">
      <c r="A12" s="279" t="s">
        <v>112</v>
      </c>
      <c r="B12" s="37">
        <f>ComputerScience!$G$57</f>
        <v>3</v>
      </c>
      <c r="C12" s="84">
        <f>ComputerScience!$G$58</f>
        <v>0.067</v>
      </c>
      <c r="D12" s="100">
        <f>ComputerScience!$G$55</f>
        <v>23.9</v>
      </c>
      <c r="E12" s="98">
        <f>ComputerScience!$G$54</f>
        <v>28</v>
      </c>
      <c r="F12" s="84">
        <f t="shared" si="0"/>
        <v>1.1715481171548119</v>
      </c>
      <c r="G12" s="93">
        <f>ComputerScience!$G$53</f>
        <v>14</v>
      </c>
      <c r="H12" s="37">
        <f>ComputerScience!$J$57</f>
        <v>1</v>
      </c>
      <c r="I12" s="84">
        <f>ComputerScience!$J$58</f>
        <v>0.049</v>
      </c>
      <c r="J12" s="100">
        <f>ComputerScience!$J$55</f>
        <v>22.2</v>
      </c>
      <c r="K12" s="98">
        <f>ComputerScience!$J$54</f>
        <v>31</v>
      </c>
      <c r="L12" s="84">
        <f t="shared" si="1"/>
        <v>1.3963963963963963</v>
      </c>
      <c r="M12" s="93">
        <f>ComputerScience!$J$53</f>
        <v>17</v>
      </c>
      <c r="N12" s="37">
        <f>ComputerScience!$M$57</f>
        <v>2</v>
      </c>
      <c r="O12" s="84">
        <f>ComputerScience!$M$58</f>
        <v>0.069</v>
      </c>
      <c r="P12" s="100">
        <f>ComputerScience!$M$55</f>
        <v>22.6</v>
      </c>
      <c r="Q12" s="98">
        <f>ComputerScience!$M$54</f>
        <v>31</v>
      </c>
      <c r="R12" s="84">
        <f t="shared" si="2"/>
        <v>1.3716814159292035</v>
      </c>
      <c r="S12" s="93">
        <f>ComputerScience!$M$53</f>
        <v>14</v>
      </c>
    </row>
    <row r="13" spans="1:21" ht="11.25">
      <c r="A13" s="279" t="s">
        <v>114</v>
      </c>
      <c r="B13" s="37">
        <f>CreativeWriting!$G$57</f>
        <v>0.235</v>
      </c>
      <c r="C13" s="84">
        <f>CreativeWriting!$G$58</f>
        <v>0</v>
      </c>
      <c r="D13" s="100">
        <f>CreativeWriting!$G$55</f>
        <v>0.8</v>
      </c>
      <c r="E13" s="98">
        <f>CreativeWriting!$G$54</f>
        <v>18.6</v>
      </c>
      <c r="F13" s="84">
        <f t="shared" si="0"/>
        <v>23.25</v>
      </c>
      <c r="G13" s="93">
        <f>CreativeWriting!$G$53</f>
        <v>13</v>
      </c>
      <c r="H13" s="37">
        <f>CreativeWriting!$J$57</f>
        <v>0.242</v>
      </c>
      <c r="I13" s="84">
        <f>CreativeWriting!$J$58</f>
        <v>-0.069</v>
      </c>
      <c r="J13" s="100">
        <f>CreativeWriting!$J$55</f>
        <v>0.73</v>
      </c>
      <c r="K13" s="98">
        <f>CreativeWriting!$J$54</f>
        <v>19.5</v>
      </c>
      <c r="L13" s="84">
        <f t="shared" si="1"/>
        <v>26.71232876712329</v>
      </c>
      <c r="M13" s="93">
        <f>CreativeWriting!$J$53</f>
        <v>12</v>
      </c>
      <c r="N13" s="37">
        <f>CreativeWriting!$M$57</f>
        <v>0.382</v>
      </c>
      <c r="O13" s="84">
        <f>CreativeWriting!$M$58</f>
        <v>-0.034</v>
      </c>
      <c r="P13" s="100">
        <f>CreativeWriting!$M$55</f>
        <v>0.6</v>
      </c>
      <c r="Q13" s="98">
        <f>CreativeWriting!$M$54</f>
        <v>19.4</v>
      </c>
      <c r="R13" s="84">
        <f t="shared" si="2"/>
        <v>32.333333333333336</v>
      </c>
      <c r="S13" s="93">
        <f>CreativeWriting!$M$53</f>
        <v>12</v>
      </c>
      <c r="U13" s="126"/>
    </row>
    <row r="14" spans="1:19" ht="11.25">
      <c r="A14" s="279" t="s">
        <v>193</v>
      </c>
      <c r="B14" s="37">
        <f>Economics!$G$57</f>
        <v>0</v>
      </c>
      <c r="C14" s="84">
        <f>Economics!$G$58</f>
        <v>0.045</v>
      </c>
      <c r="D14" s="100">
        <f>Economics!$G$55</f>
        <v>29.4</v>
      </c>
      <c r="E14" s="98">
        <f>Economics!$G$54</f>
        <v>31</v>
      </c>
      <c r="F14" s="84">
        <f t="shared" si="0"/>
        <v>1.054421768707483</v>
      </c>
      <c r="G14" s="93">
        <f>Economics!$G$53</f>
        <v>5</v>
      </c>
      <c r="H14" s="37">
        <f>Economics!$J$57</f>
        <v>2</v>
      </c>
      <c r="I14" s="84">
        <f>Economics!$J$58</f>
        <v>0.057</v>
      </c>
      <c r="J14" s="100">
        <f>Economics!$J$55</f>
        <v>31</v>
      </c>
      <c r="K14" s="98">
        <f>Economics!$J$54</f>
        <v>33</v>
      </c>
      <c r="L14" s="84">
        <f t="shared" si="1"/>
        <v>1.064516129032258</v>
      </c>
      <c r="M14" s="93">
        <f>Economics!$J$53</f>
        <v>7</v>
      </c>
      <c r="N14" s="37">
        <f>Economics!$M$57</f>
        <v>2</v>
      </c>
      <c r="O14" s="84">
        <f>Economics!$M$58</f>
        <v>0.06</v>
      </c>
      <c r="P14" s="100">
        <f>Economics!$M$55</f>
        <v>29.2</v>
      </c>
      <c r="Q14" s="98">
        <f>Economics!$M$54</f>
        <v>31</v>
      </c>
      <c r="R14" s="84">
        <f t="shared" si="2"/>
        <v>1.0616438356164384</v>
      </c>
      <c r="S14" s="93">
        <f>Economics!$M$53</f>
        <v>6</v>
      </c>
    </row>
    <row r="15" spans="1:21" ht="11.25">
      <c r="A15" s="279" t="s">
        <v>118</v>
      </c>
      <c r="B15" s="37">
        <f>Education!$G$57</f>
        <v>5</v>
      </c>
      <c r="C15" s="84">
        <f>Education!$G$58</f>
        <v>0.235</v>
      </c>
      <c r="D15" s="100">
        <f>Education!$G$55</f>
        <v>13.2</v>
      </c>
      <c r="E15" s="98">
        <f>Education!$G$54</f>
        <v>17</v>
      </c>
      <c r="F15" s="84">
        <f t="shared" si="0"/>
        <v>1.2878787878787878</v>
      </c>
      <c r="G15" s="93">
        <f>Education!$G$53</f>
        <v>7</v>
      </c>
      <c r="H15" s="37">
        <f>Education!$J$57</f>
        <v>3</v>
      </c>
      <c r="I15" s="84">
        <f>Education!$J$58</f>
        <v>0.2</v>
      </c>
      <c r="J15" s="100">
        <f>Education!$J$55</f>
        <v>13.4</v>
      </c>
      <c r="K15" s="98">
        <f>Education!$J$54</f>
        <v>16</v>
      </c>
      <c r="L15" s="84">
        <f t="shared" si="1"/>
        <v>1.1940298507462686</v>
      </c>
      <c r="M15" s="93">
        <f>Education!$J$53</f>
        <v>5</v>
      </c>
      <c r="N15" s="37">
        <f>Education!$M$57</f>
        <v>4</v>
      </c>
      <c r="O15" s="84">
        <f>Education!$M$58</f>
        <v>0.228</v>
      </c>
      <c r="P15" s="100">
        <f>Education!$M$55</f>
        <v>13</v>
      </c>
      <c r="Q15" s="98">
        <f>Education!$M$54</f>
        <v>16</v>
      </c>
      <c r="R15" s="84">
        <f t="shared" si="2"/>
        <v>1.2307692307692308</v>
      </c>
      <c r="S15" s="93">
        <f>Education!$M$53</f>
        <v>3</v>
      </c>
      <c r="U15" s="126"/>
    </row>
    <row r="16" spans="1:19" ht="11.25">
      <c r="A16" s="279" t="s">
        <v>119</v>
      </c>
      <c r="B16" s="37">
        <f>VCD!$G$57</f>
        <v>0</v>
      </c>
      <c r="C16" s="84">
        <f>VCD!$G$58</f>
        <v>0.029</v>
      </c>
      <c r="D16" s="100">
        <f>VCD!$G$55</f>
        <v>16.4</v>
      </c>
      <c r="E16" s="98">
        <f>VCD!$G$54</f>
        <v>24</v>
      </c>
      <c r="F16" s="84">
        <f t="shared" si="0"/>
        <v>1.4634146341463417</v>
      </c>
      <c r="G16" s="93">
        <f>VCD!$G$53</f>
        <v>13</v>
      </c>
      <c r="H16" s="37">
        <f>VCD!$J$57</f>
        <v>0</v>
      </c>
      <c r="I16" s="84">
        <f>VCD!$J$58</f>
        <v>0.032</v>
      </c>
      <c r="J16" s="100">
        <f>VCD!$J$55</f>
        <v>15.7</v>
      </c>
      <c r="K16" s="98">
        <f>VCD!$J$54</f>
        <v>24</v>
      </c>
      <c r="L16" s="84">
        <f t="shared" si="1"/>
        <v>1.5286624203821657</v>
      </c>
      <c r="M16" s="93">
        <f>VCD!$J$53</f>
        <v>17</v>
      </c>
      <c r="N16" s="37">
        <f>VCD!$M$57</f>
        <v>0</v>
      </c>
      <c r="O16" s="84">
        <f>VCD!$M$58</f>
        <v>0.048</v>
      </c>
      <c r="P16" s="100">
        <f>VCD!$M$55</f>
        <v>15.1</v>
      </c>
      <c r="Q16" s="98">
        <f>VCD!$M$54</f>
        <v>24</v>
      </c>
      <c r="R16" s="84">
        <f t="shared" si="2"/>
        <v>1.589403973509934</v>
      </c>
      <c r="S16" s="93">
        <f>VCD!$M$53</f>
        <v>11</v>
      </c>
    </row>
    <row r="17" spans="1:19" ht="11.25">
      <c r="A17" s="279" t="s">
        <v>194</v>
      </c>
      <c r="B17" s="37">
        <f>'ElectricalEng.'!$G$57</f>
        <v>0</v>
      </c>
      <c r="C17" s="84">
        <f>'ElectricalEng.'!$G$58</f>
        <v>0.078</v>
      </c>
      <c r="D17" s="100">
        <f>'ElectricalEng.'!$G$55</f>
        <v>14.8</v>
      </c>
      <c r="E17" s="98">
        <f>'ElectricalEng.'!$G$54</f>
        <v>19</v>
      </c>
      <c r="F17" s="84">
        <f t="shared" si="0"/>
        <v>1.2837837837837838</v>
      </c>
      <c r="G17" s="93">
        <f>'ElectricalEng.'!$G$53</f>
        <v>17</v>
      </c>
      <c r="H17" s="37">
        <f>'ElectricalEng.'!$J$57</f>
        <v>0</v>
      </c>
      <c r="I17" s="84">
        <f>'ElectricalEng.'!$J$58</f>
        <v>0.08</v>
      </c>
      <c r="J17" s="100">
        <f>'ElectricalEng.'!$J$55</f>
        <v>17.1</v>
      </c>
      <c r="K17" s="98">
        <f>'ElectricalEng.'!$J$54</f>
        <v>18</v>
      </c>
      <c r="L17" s="84">
        <f t="shared" si="1"/>
        <v>1.0526315789473684</v>
      </c>
      <c r="M17" s="93">
        <f>'ElectricalEng.'!$J$53</f>
        <v>14</v>
      </c>
      <c r="N17" s="37">
        <f>'ElectricalEng.'!$M$57</f>
        <v>0</v>
      </c>
      <c r="O17" s="84">
        <f>'ElectricalEng.'!$M$58</f>
        <v>0.077</v>
      </c>
      <c r="P17" s="100">
        <f>'ElectricalEng.'!$M$55</f>
        <v>16.7</v>
      </c>
      <c r="Q17" s="98">
        <f>'ElectricalEng.'!$M$54</f>
        <v>17</v>
      </c>
      <c r="R17" s="84">
        <f t="shared" si="2"/>
        <v>1.0179640718562875</v>
      </c>
      <c r="S17" s="93">
        <f>'ElectricalEng.'!$M$53</f>
        <v>8</v>
      </c>
    </row>
    <row r="18" spans="1:19" ht="11.25">
      <c r="A18" s="279" t="s">
        <v>195</v>
      </c>
      <c r="B18" s="37">
        <f>MechanicalEngTech!$G$57</f>
        <v>0</v>
      </c>
      <c r="C18" s="84">
        <f>MechanicalEngTech!$G$58</f>
        <v>0.06</v>
      </c>
      <c r="D18" s="100">
        <f>MechanicalEngTech!$G$55</f>
        <v>14.8</v>
      </c>
      <c r="E18" s="98">
        <f>MechanicalEngTech!$G$54</f>
        <v>20</v>
      </c>
      <c r="F18" s="84">
        <f t="shared" si="0"/>
        <v>1.3513513513513513</v>
      </c>
      <c r="G18" s="93">
        <f>MechanicalEngTech!$G$53</f>
        <v>44</v>
      </c>
      <c r="H18" s="37">
        <f>MechanicalEngTech!$J$57</f>
        <v>0</v>
      </c>
      <c r="I18" s="84">
        <f>MechanicalEngTech!$J$58</f>
        <v>0.048</v>
      </c>
      <c r="J18" s="100">
        <f>MechanicalEngTech!$J$55</f>
        <v>17.1</v>
      </c>
      <c r="K18" s="98">
        <f>MechanicalEngTech!$J$54</f>
        <v>23</v>
      </c>
      <c r="L18" s="84">
        <f t="shared" si="1"/>
        <v>1.3450292397660817</v>
      </c>
      <c r="M18" s="93">
        <f>MechanicalEngTech!$J$53</f>
        <v>44</v>
      </c>
      <c r="N18" s="37">
        <f>MechanicalEngTech!$M$57</f>
        <v>0</v>
      </c>
      <c r="O18" s="84">
        <f>MechanicalEngTech!$M$58</f>
        <v>0.06</v>
      </c>
      <c r="P18" s="100">
        <f>MechanicalEngTech!$M$55</f>
        <v>16.7</v>
      </c>
      <c r="Q18" s="98">
        <f>MechanicalEngTech!$M$54</f>
        <v>21</v>
      </c>
      <c r="R18" s="84">
        <f t="shared" si="2"/>
        <v>1.25748502994012</v>
      </c>
      <c r="S18" s="93">
        <f>MechanicalEngTech!$M$53</f>
        <v>42</v>
      </c>
    </row>
    <row r="19" spans="1:19" ht="11.25">
      <c r="A19" s="279" t="s">
        <v>309</v>
      </c>
      <c r="B19" s="37">
        <f>'Finance &amp; Marketing'!G56</f>
        <v>1</v>
      </c>
      <c r="C19" s="84">
        <f>'Finance &amp; Marketing'!$G$58</f>
        <v>0</v>
      </c>
      <c r="D19" s="100">
        <f>'Finance &amp; Marketing'!G53</f>
        <v>40</v>
      </c>
      <c r="E19" s="98">
        <f>'Finance &amp; Marketing'!$G$54</f>
        <v>25.4</v>
      </c>
      <c r="F19" s="84">
        <f aca="true" t="shared" si="3" ref="F19">E19/D19</f>
        <v>0.635</v>
      </c>
      <c r="G19" s="93">
        <f>'Finance &amp; Marketing'!$G$52</f>
        <v>7</v>
      </c>
      <c r="H19" s="37">
        <f>'Finance &amp; Marketing'!J56</f>
        <v>0</v>
      </c>
      <c r="I19" s="84">
        <f>'Finance &amp; Marketing'!$J$58</f>
        <v>-0.025</v>
      </c>
      <c r="J19" s="100">
        <f>'Finance &amp; Marketing'!J53</f>
        <v>38</v>
      </c>
      <c r="K19" s="98">
        <f>'Finance &amp; Marketing'!$J$54</f>
        <v>26</v>
      </c>
      <c r="L19" s="84">
        <f t="shared" si="1"/>
        <v>0.6842105263157895</v>
      </c>
      <c r="M19" s="93">
        <f>'Finance &amp; Marketing'!$J$52</f>
        <v>6</v>
      </c>
      <c r="N19" s="37">
        <f>'Finance &amp; Marketing'!M56</f>
        <v>1</v>
      </c>
      <c r="O19" s="84">
        <f>'Finance &amp; Marketing'!$M$58</f>
        <v>0.026</v>
      </c>
      <c r="P19" s="100">
        <f>'Finance &amp; Marketing'!M53</f>
        <v>38</v>
      </c>
      <c r="Q19" s="98">
        <f>'Finance &amp; Marketing'!$M$54</f>
        <v>27.4</v>
      </c>
      <c r="R19" s="84">
        <f t="shared" si="2"/>
        <v>0.7210526315789473</v>
      </c>
      <c r="S19" s="93">
        <f>'Finance &amp; Marketing'!$M$52</f>
        <v>5</v>
      </c>
    </row>
    <row r="20" spans="1:19" ht="11.25">
      <c r="A20" s="279" t="s">
        <v>196</v>
      </c>
      <c r="B20" s="37">
        <f>Film!$G$57</f>
        <v>0</v>
      </c>
      <c r="C20" s="84">
        <f>Film!$G$58</f>
        <v>0</v>
      </c>
      <c r="D20" s="100">
        <f>Film!$G$55</f>
        <v>11.5</v>
      </c>
      <c r="E20" s="98">
        <f>Film!$G$54</f>
        <v>28</v>
      </c>
      <c r="F20" s="84">
        <f t="shared" si="0"/>
        <v>2.4347826086956523</v>
      </c>
      <c r="G20" s="93">
        <f>Film!$G$53</f>
        <v>13</v>
      </c>
      <c r="H20" s="37">
        <f>Film!$J$57</f>
        <v>0</v>
      </c>
      <c r="I20" s="84">
        <f>Film!$J$58</f>
        <v>0.03</v>
      </c>
      <c r="J20" s="100">
        <f>Film!$J$55</f>
        <v>12.6</v>
      </c>
      <c r="K20" s="98">
        <f>Film!$J$54</f>
        <v>28</v>
      </c>
      <c r="L20" s="84">
        <f t="shared" si="1"/>
        <v>2.2222222222222223</v>
      </c>
      <c r="M20" s="93">
        <f>Film!$J$53</f>
        <v>13</v>
      </c>
      <c r="N20" s="37">
        <f>Film!$M$57</f>
        <v>0</v>
      </c>
      <c r="O20" s="84">
        <f>Film!$M$58</f>
        <v>0.031</v>
      </c>
      <c r="P20" s="100">
        <f>Film!$M$55</f>
        <v>11.5</v>
      </c>
      <c r="Q20" s="98">
        <f>Film!$M$54</f>
        <v>29</v>
      </c>
      <c r="R20" s="84">
        <f t="shared" si="2"/>
        <v>2.5217391304347827</v>
      </c>
      <c r="S20" s="93">
        <f>Film!$M$53</f>
        <v>14</v>
      </c>
    </row>
    <row r="21" spans="1:19" ht="11.25">
      <c r="A21" s="12" t="s">
        <v>197</v>
      </c>
      <c r="B21" s="37">
        <f>GEAN!$G$57</f>
        <v>4</v>
      </c>
      <c r="C21" s="84">
        <f>GEAN!$G$58</f>
        <v>0.264</v>
      </c>
      <c r="D21" s="100">
        <f>GEAN!$G$55</f>
        <v>21.4</v>
      </c>
      <c r="E21" s="98">
        <f>GEAN!$G$54</f>
        <v>18</v>
      </c>
      <c r="F21" s="84">
        <f t="shared" si="0"/>
        <v>0.8411214953271029</v>
      </c>
      <c r="G21" s="93">
        <f>GEAN!$G$53</f>
        <v>8</v>
      </c>
      <c r="H21" s="37">
        <f>GEAN!$J$57</f>
        <v>3</v>
      </c>
      <c r="I21" s="84">
        <f>GEAN!$J$58</f>
        <v>0.24</v>
      </c>
      <c r="J21" s="100">
        <f>GEAN!$J$55</f>
        <v>23.4</v>
      </c>
      <c r="K21" s="98">
        <f>GEAN!$J$54</f>
        <v>20</v>
      </c>
      <c r="L21" s="84">
        <f t="shared" si="1"/>
        <v>0.8547008547008548</v>
      </c>
      <c r="M21" s="93">
        <f>GEAN!$J$53</f>
        <v>12</v>
      </c>
      <c r="N21" s="37">
        <f>GEAN!$M$57</f>
        <v>3</v>
      </c>
      <c r="O21" s="84">
        <f>GEAN!$M$58</f>
        <v>0.315</v>
      </c>
      <c r="P21" s="100">
        <f>GEAN!$M$55</f>
        <v>22.1</v>
      </c>
      <c r="Q21" s="98">
        <f>GEAN!$M$54</f>
        <v>18</v>
      </c>
      <c r="R21" s="84">
        <f t="shared" si="2"/>
        <v>0.8144796380090498</v>
      </c>
      <c r="S21" s="93">
        <f>GEAN!$M$53</f>
        <v>20</v>
      </c>
    </row>
    <row r="22" spans="1:19" ht="11.25">
      <c r="A22" s="279" t="s">
        <v>198</v>
      </c>
      <c r="B22" s="37">
        <f>ANTR!$G$57</f>
        <v>1</v>
      </c>
      <c r="C22" s="84">
        <f>ANTR!$G$58</f>
        <v>0.108</v>
      </c>
      <c r="D22" s="100">
        <f>ANTR!$G$55</f>
        <v>21.4</v>
      </c>
      <c r="E22" s="98">
        <f>ANTR!$G$54</f>
        <v>24</v>
      </c>
      <c r="F22" s="84">
        <f t="shared" si="0"/>
        <v>1.1214953271028039</v>
      </c>
      <c r="G22" s="93">
        <f>ANTR!$G$53</f>
        <v>3</v>
      </c>
      <c r="H22" s="37">
        <f>ANTR!$J$57</f>
        <v>2</v>
      </c>
      <c r="I22" s="84">
        <f>ANTR!$J$58</f>
        <v>0.191</v>
      </c>
      <c r="J22" s="100">
        <f>ANTR!$J$55</f>
        <v>23.4</v>
      </c>
      <c r="K22" s="98">
        <f>ANTR!$J$54</f>
        <v>32</v>
      </c>
      <c r="L22" s="84">
        <f t="shared" si="1"/>
        <v>1.3675213675213675</v>
      </c>
      <c r="M22" s="93">
        <f>ANTR!$J$53</f>
        <v>7</v>
      </c>
      <c r="N22" s="37">
        <f>ANTR!$M$57</f>
        <v>2</v>
      </c>
      <c r="O22" s="84">
        <f>ANTR!$M$58</f>
        <v>0.34</v>
      </c>
      <c r="P22" s="100">
        <f>ANTR!$M$55</f>
        <v>22.1</v>
      </c>
      <c r="Q22" s="98">
        <f>ANTR!$M$54</f>
        <v>18</v>
      </c>
      <c r="R22" s="84">
        <f t="shared" si="2"/>
        <v>0.8144796380090498</v>
      </c>
      <c r="S22" s="93">
        <f>ANTR!$M$53</f>
        <v>10</v>
      </c>
    </row>
    <row r="23" spans="1:19" ht="11.25">
      <c r="A23" s="279" t="s">
        <v>199</v>
      </c>
      <c r="B23" s="37">
        <f>GEOG!$G$57</f>
        <v>1</v>
      </c>
      <c r="C23" s="84">
        <f>GEOG!$G$58</f>
        <v>0.322</v>
      </c>
      <c r="D23" s="100">
        <f>GEOG!$G$55</f>
        <v>21.4</v>
      </c>
      <c r="E23" s="98">
        <f>GEOG!$G$54</f>
        <v>19</v>
      </c>
      <c r="F23" s="84">
        <f t="shared" si="0"/>
        <v>0.8878504672897197</v>
      </c>
      <c r="G23" s="93">
        <f>GEOG!$G$53</f>
        <v>4</v>
      </c>
      <c r="H23" s="37">
        <f>GEOG!$J$57</f>
        <v>0</v>
      </c>
      <c r="I23" s="84">
        <f>GEOG!$J$58</f>
        <v>0.281</v>
      </c>
      <c r="J23" s="100">
        <f>GEOG!$J$55</f>
        <v>23.4</v>
      </c>
      <c r="K23" s="98">
        <f>GEOG!$J$54</f>
        <v>24</v>
      </c>
      <c r="L23" s="84">
        <f t="shared" si="1"/>
        <v>1.0256410256410258</v>
      </c>
      <c r="M23" s="93">
        <f>GEOG!$J$53</f>
        <v>4</v>
      </c>
      <c r="N23" s="37">
        <f>GEOG!$M$57</f>
        <v>0</v>
      </c>
      <c r="O23" s="84">
        <f>GEOG!$M$58</f>
        <v>0.328</v>
      </c>
      <c r="P23" s="100">
        <f>GEOG!$M$55</f>
        <v>22.1</v>
      </c>
      <c r="Q23" s="98">
        <f>GEOG!$M$54</f>
        <v>20</v>
      </c>
      <c r="R23" s="84">
        <f t="shared" si="2"/>
        <v>0.9049773755656108</v>
      </c>
      <c r="S23" s="93">
        <f>GEOG!$M$53</f>
        <v>10</v>
      </c>
    </row>
    <row r="24" spans="1:19" ht="11.25">
      <c r="A24" s="12" t="s">
        <v>200</v>
      </c>
      <c r="B24" s="37">
        <f>GIPAGraduate!$G$57</f>
        <v>0</v>
      </c>
      <c r="C24" s="84">
        <f>GIPAGraduate!$G$58</f>
        <v>0.824</v>
      </c>
      <c r="D24" s="100">
        <f>GIPAGraduate!$G$55</f>
        <v>3.9</v>
      </c>
      <c r="E24" s="98">
        <f>GIPAGraduate!$G$54</f>
        <v>3</v>
      </c>
      <c r="F24" s="84">
        <f t="shared" si="0"/>
        <v>0.7692307692307693</v>
      </c>
      <c r="G24" s="93">
        <f>GIPAGraduate!$G$53</f>
        <v>0</v>
      </c>
      <c r="H24" s="37">
        <f>GIPAGraduate!$J$57</f>
        <v>0</v>
      </c>
      <c r="I24" s="84">
        <f>GIPAGraduate!$J$58</f>
        <v>0.412</v>
      </c>
      <c r="J24" s="100">
        <f>GIPAGraduate!$J$55</f>
        <v>2.5</v>
      </c>
      <c r="K24" s="98">
        <f>GIPAGraduate!$J$54</f>
        <v>4</v>
      </c>
      <c r="L24" s="84">
        <f t="shared" si="1"/>
        <v>1.6</v>
      </c>
      <c r="M24" s="93">
        <f>GIPAGraduate!$J$53</f>
        <v>1</v>
      </c>
      <c r="N24" s="37">
        <f>GIPAGraduate!$M$57</f>
        <v>0</v>
      </c>
      <c r="O24" s="84">
        <f>GIPAGraduate!$M$58</f>
        <v>0.583</v>
      </c>
      <c r="P24" s="100">
        <f>GIPAGraduate!$M$55</f>
        <v>4.3</v>
      </c>
      <c r="Q24" s="98">
        <f>GIPAGraduate!$M$54</f>
        <v>5</v>
      </c>
      <c r="R24" s="84">
        <f t="shared" si="2"/>
        <v>1.1627906976744187</v>
      </c>
      <c r="S24" s="93">
        <f>GIPAGraduate!$M$53</f>
        <v>0</v>
      </c>
    </row>
    <row r="25" spans="1:19" ht="11.25">
      <c r="A25" s="279" t="s">
        <v>201</v>
      </c>
      <c r="B25" s="37">
        <f>PLAN!$G$57</f>
        <v>2</v>
      </c>
      <c r="C25" s="84">
        <f>PLAN!$G$58</f>
        <v>0.346</v>
      </c>
      <c r="D25" s="100">
        <f>PLAN!$G$55</f>
        <v>18.6</v>
      </c>
      <c r="E25" s="98">
        <f>PLAN!$G$54</f>
        <v>13</v>
      </c>
      <c r="F25" s="84">
        <f t="shared" si="0"/>
        <v>0.6989247311827956</v>
      </c>
      <c r="G25" s="93">
        <f>PLAN!$G$53</f>
        <v>1</v>
      </c>
      <c r="H25" s="37">
        <f>PLAN!$J$57</f>
        <v>1</v>
      </c>
      <c r="I25" s="84">
        <f>PLAN!$J$58</f>
        <v>0.32</v>
      </c>
      <c r="J25" s="100">
        <f>PLAN!$J$55</f>
        <v>22.8</v>
      </c>
      <c r="K25" s="98">
        <f>PLAN!$J$54</f>
        <v>12</v>
      </c>
      <c r="L25" s="84">
        <f t="shared" si="1"/>
        <v>0.5263157894736842</v>
      </c>
      <c r="M25" s="93">
        <f>PLAN!$J$53</f>
        <v>0</v>
      </c>
      <c r="N25" s="37">
        <f>PLAN!$M$57</f>
        <v>1</v>
      </c>
      <c r="O25" s="84">
        <f>PLAN!$M$58</f>
        <v>0.517</v>
      </c>
      <c r="P25" s="100">
        <f>PLAN!$M$55</f>
        <v>22.2</v>
      </c>
      <c r="Q25" s="98">
        <f>PLAN!$M$54</f>
        <v>9</v>
      </c>
      <c r="R25" s="84">
        <f t="shared" si="2"/>
        <v>0.40540540540540543</v>
      </c>
      <c r="S25" s="93">
        <f>PLAN!$M$53</f>
        <v>0</v>
      </c>
    </row>
    <row r="26" spans="1:19" ht="11.25">
      <c r="A26" s="279" t="s">
        <v>202</v>
      </c>
      <c r="B26" s="37">
        <f>GEOL!$G$57</f>
        <v>0</v>
      </c>
      <c r="C26" s="84">
        <f>GEOL!$G$58</f>
        <v>0.167</v>
      </c>
      <c r="D26" s="100">
        <f>GEOL!$G$55</f>
        <v>20.2</v>
      </c>
      <c r="E26" s="98">
        <f>GEOL!$G$54</f>
        <v>28</v>
      </c>
      <c r="F26" s="84">
        <f t="shared" si="0"/>
        <v>1.3861386138613863</v>
      </c>
      <c r="G26" s="93">
        <f>GEOL!$G$53</f>
        <v>4</v>
      </c>
      <c r="H26" s="37">
        <f>GEOL!$J$57</f>
        <v>0</v>
      </c>
      <c r="I26" s="84">
        <f>GEOL!$J$58</f>
        <v>0.133</v>
      </c>
      <c r="J26" s="100">
        <f>GEOL!$J$55</f>
        <v>21.2</v>
      </c>
      <c r="K26" s="98">
        <f>GEOL!$J$54</f>
        <v>24</v>
      </c>
      <c r="L26" s="84">
        <f t="shared" si="1"/>
        <v>1.1320754716981132</v>
      </c>
      <c r="M26" s="93">
        <f>GEOL!$J$53</f>
        <v>6</v>
      </c>
      <c r="N26" s="37">
        <f>GEOL!$M$57</f>
        <v>0</v>
      </c>
      <c r="O26" s="84">
        <f>GEOL!$M$58</f>
        <v>0.093</v>
      </c>
      <c r="P26" s="100">
        <f>GEOL!$M$55</f>
        <v>19.5</v>
      </c>
      <c r="Q26" s="98">
        <f>GEOL!$M$54</f>
        <v>26</v>
      </c>
      <c r="R26" s="84">
        <f t="shared" si="2"/>
        <v>1.3333333333333333</v>
      </c>
      <c r="S26" s="93">
        <f>GEOL!$M$53</f>
        <v>5</v>
      </c>
    </row>
    <row r="27" spans="1:19" ht="11.25">
      <c r="A27" s="279" t="s">
        <v>139</v>
      </c>
      <c r="B27" s="37">
        <f>HealthServicesAdmin!$G$57</f>
        <v>0</v>
      </c>
      <c r="C27" s="84">
        <f>HealthServicesAdmin!$G$58</f>
        <v>0.133</v>
      </c>
      <c r="D27" s="100">
        <f>HealthServicesAdmin!$G$55</f>
        <v>15.7</v>
      </c>
      <c r="E27" s="98">
        <f>HealthServicesAdmin!$G$54</f>
        <v>23</v>
      </c>
      <c r="F27" s="84">
        <f t="shared" si="0"/>
        <v>1.4649681528662422</v>
      </c>
      <c r="G27" s="93">
        <f>HealthServicesAdmin!$G$53</f>
        <v>2</v>
      </c>
      <c r="H27" s="37">
        <f>HealthServicesAdmin!$J$57</f>
        <v>0</v>
      </c>
      <c r="I27" s="84">
        <f>HealthServicesAdmin!$J$58</f>
        <v>0.059</v>
      </c>
      <c r="J27" s="100">
        <f>HealthServicesAdmin!$J$55</f>
        <v>16.9</v>
      </c>
      <c r="K27" s="98">
        <f>HealthServicesAdmin!$J$54</f>
        <v>21</v>
      </c>
      <c r="L27" s="84">
        <f t="shared" si="1"/>
        <v>1.2426035502958581</v>
      </c>
      <c r="M27" s="93">
        <f>HealthServicesAdmin!$J$53</f>
        <v>1</v>
      </c>
      <c r="N27" s="37">
        <f>HealthServicesAdmin!$M$57</f>
        <v>0</v>
      </c>
      <c r="O27" s="84">
        <f>HealthServicesAdmin!$M$58</f>
        <v>0.35</v>
      </c>
      <c r="P27" s="100">
        <f>HealthServicesAdmin!$M$55</f>
        <v>16.1</v>
      </c>
      <c r="Q27" s="98">
        <f>HealthServicesAdmin!$M$54</f>
        <v>20</v>
      </c>
      <c r="R27" s="84">
        <f t="shared" si="2"/>
        <v>1.2422360248447204</v>
      </c>
      <c r="S27" s="93">
        <f>HealthServicesAdmin!$M$53</f>
        <v>2</v>
      </c>
    </row>
    <row r="28" spans="1:19" ht="11.25">
      <c r="A28" s="279" t="s">
        <v>203</v>
      </c>
      <c r="B28" s="37">
        <f>HIST!$G$57</f>
        <v>4</v>
      </c>
      <c r="C28" s="84">
        <f>HIST!$G$58</f>
        <v>0.124</v>
      </c>
      <c r="D28" s="100">
        <f>HIST!$G$55</f>
        <v>24.6</v>
      </c>
      <c r="E28" s="98">
        <f>HIST!$G$54</f>
        <v>20</v>
      </c>
      <c r="F28" s="84">
        <f t="shared" si="0"/>
        <v>0.8130081300813008</v>
      </c>
      <c r="G28" s="93">
        <f>HIST!$G$53</f>
        <v>1</v>
      </c>
      <c r="H28" s="37">
        <f>HIST!$J$57</f>
        <v>4</v>
      </c>
      <c r="I28" s="84">
        <f>HIST!$J$58</f>
        <v>0.121</v>
      </c>
      <c r="J28" s="100">
        <f>HIST!$J$55</f>
        <v>26.4</v>
      </c>
      <c r="K28" s="98">
        <f>HIST!$J$54</f>
        <v>23</v>
      </c>
      <c r="L28" s="84">
        <f t="shared" si="1"/>
        <v>0.8712121212121212</v>
      </c>
      <c r="M28" s="93">
        <f>HIST!$J$53</f>
        <v>6</v>
      </c>
      <c r="N28" s="37">
        <f>HIST!$M$57</f>
        <v>4</v>
      </c>
      <c r="O28" s="84">
        <f>HIST!$M$58</f>
        <v>0.16</v>
      </c>
      <c r="P28" s="100">
        <f>HIST!$M$55</f>
        <v>23.9</v>
      </c>
      <c r="Q28" s="98">
        <f>HIST!$M$54</f>
        <v>23</v>
      </c>
      <c r="R28" s="84">
        <f t="shared" si="2"/>
        <v>0.9623430962343097</v>
      </c>
      <c r="S28" s="93">
        <f>HIST!$M$53</f>
        <v>4</v>
      </c>
    </row>
    <row r="29" spans="1:19" ht="11.25">
      <c r="A29" s="279" t="s">
        <v>148</v>
      </c>
      <c r="B29" s="37">
        <f>InformationSystems!$G$57</f>
        <v>0</v>
      </c>
      <c r="C29" s="84">
        <f>InformationSystems!$G$58</f>
        <v>0.031</v>
      </c>
      <c r="D29" s="100">
        <f>InformationSystems!$G$55</f>
        <v>25.3</v>
      </c>
      <c r="E29" s="98">
        <f>InformationSystems!$G$54</f>
        <v>31</v>
      </c>
      <c r="F29" s="84">
        <f t="shared" si="0"/>
        <v>1.225296442687747</v>
      </c>
      <c r="G29" s="93">
        <f>InformationSystems!$G$53</f>
        <v>11</v>
      </c>
      <c r="H29" s="37">
        <f>InformationSystems!$J$57</f>
        <v>1</v>
      </c>
      <c r="I29" s="84">
        <f>InformationSystems!$J$58</f>
        <v>0.119</v>
      </c>
      <c r="J29" s="100">
        <f>InformationSystems!$J$55</f>
        <v>25.2</v>
      </c>
      <c r="K29" s="98">
        <f>InformationSystems!$J$54</f>
        <v>30</v>
      </c>
      <c r="L29" s="84">
        <f t="shared" si="1"/>
        <v>1.1904761904761905</v>
      </c>
      <c r="M29" s="93">
        <f>InformationSystems!$J$53</f>
        <v>3</v>
      </c>
      <c r="N29" s="37">
        <f>InformationSystems!$M$57</f>
        <v>0</v>
      </c>
      <c r="O29" s="84">
        <f>InformationSystems!$M$58</f>
        <v>0.07</v>
      </c>
      <c r="P29" s="100">
        <f>InformationSystems!$M$55</f>
        <v>25.3</v>
      </c>
      <c r="Q29" s="98">
        <f>InformationSystems!$M$54</f>
        <v>33</v>
      </c>
      <c r="R29" s="84">
        <f t="shared" si="2"/>
        <v>1.3043478260869565</v>
      </c>
      <c r="S29" s="93">
        <f>InformationSystems!$M$53</f>
        <v>4</v>
      </c>
    </row>
    <row r="30" spans="1:19" ht="11.25">
      <c r="A30" s="279" t="s">
        <v>204</v>
      </c>
      <c r="B30" s="37">
        <f>Journalism!$G$57</f>
        <v>0</v>
      </c>
      <c r="C30" s="84">
        <f>Journalism!$G$58</f>
        <v>0.3</v>
      </c>
      <c r="D30" s="100">
        <f>Journalism!$G$55</f>
        <v>19.1</v>
      </c>
      <c r="E30" s="98">
        <f>Journalism!$G$54</f>
        <v>14</v>
      </c>
      <c r="F30" s="84">
        <f t="shared" si="0"/>
        <v>0.7329842931937173</v>
      </c>
      <c r="G30" s="93">
        <f>Journalism!$G$53</f>
        <v>2</v>
      </c>
      <c r="H30" s="37">
        <f>Journalism!$J$57</f>
        <v>0</v>
      </c>
      <c r="I30" s="84">
        <f>Journalism!$J$58</f>
        <v>0.318</v>
      </c>
      <c r="J30" s="100">
        <f>Journalism!$J$55</f>
        <v>19.5</v>
      </c>
      <c r="K30" s="98">
        <f>Journalism!$J$54</f>
        <v>12</v>
      </c>
      <c r="L30" s="84">
        <f t="shared" si="1"/>
        <v>0.6153846153846154</v>
      </c>
      <c r="M30" s="93">
        <f>Journalism!$J$53</f>
        <v>0</v>
      </c>
      <c r="N30" s="37">
        <f>Journalism!$M$57</f>
        <v>0</v>
      </c>
      <c r="O30" s="84">
        <f>Journalism!$M$58</f>
        <v>0.05</v>
      </c>
      <c r="P30" s="100">
        <f>Journalism!$M$55</f>
        <v>19.2</v>
      </c>
      <c r="Q30" s="98">
        <f>Journalism!$M$54</f>
        <v>23</v>
      </c>
      <c r="R30" s="84">
        <f t="shared" si="2"/>
        <v>1.1979166666666667</v>
      </c>
      <c r="S30" s="93">
        <f>Journalism!$M$53</f>
        <v>6</v>
      </c>
    </row>
    <row r="31" spans="1:19" ht="11.25">
      <c r="A31" s="279" t="s">
        <v>152</v>
      </c>
      <c r="B31" s="37">
        <f>Math!$G$57</f>
        <v>2</v>
      </c>
      <c r="C31" s="84">
        <f>Math!$G$58</f>
        <v>0.061</v>
      </c>
      <c r="D31" s="100">
        <f>Math!$G$55</f>
        <v>23.7</v>
      </c>
      <c r="E31" s="98">
        <f>Math!$G$54</f>
        <v>36</v>
      </c>
      <c r="F31" s="84">
        <f t="shared" si="0"/>
        <v>1.518987341772152</v>
      </c>
      <c r="G31" s="93">
        <f>Math!$G$53</f>
        <v>17</v>
      </c>
      <c r="H31" s="37">
        <f>Math!$J$57</f>
        <v>3</v>
      </c>
      <c r="I31" s="84">
        <f>Math!$J$58</f>
        <v>0.041</v>
      </c>
      <c r="J31" s="100">
        <f>Math!$J$55</f>
        <v>26.4</v>
      </c>
      <c r="K31" s="98">
        <f>Math!$J$54</f>
        <v>37</v>
      </c>
      <c r="L31" s="84">
        <f t="shared" si="1"/>
        <v>1.4015151515151516</v>
      </c>
      <c r="M31" s="93">
        <f>Math!$J$53</f>
        <v>11</v>
      </c>
      <c r="N31" s="37">
        <f>Math!$M$57</f>
        <v>2</v>
      </c>
      <c r="O31" s="84">
        <f>Math!$M$58</f>
        <v>0.08</v>
      </c>
      <c r="P31" s="100">
        <f>Math!$M$55</f>
        <v>25.7</v>
      </c>
      <c r="Q31" s="98">
        <f>Math!$M$54</f>
        <v>37</v>
      </c>
      <c r="R31" s="84">
        <f t="shared" si="2"/>
        <v>1.4396887159533074</v>
      </c>
      <c r="S31" s="93">
        <f>Math!$M$53</f>
        <v>13</v>
      </c>
    </row>
    <row r="32" spans="1:19" ht="11.25">
      <c r="A32" s="279" t="s">
        <v>205</v>
      </c>
      <c r="B32" s="37">
        <f>Management!$G$57</f>
        <v>0</v>
      </c>
      <c r="C32" s="84">
        <f>Management!$G$58</f>
        <v>0</v>
      </c>
      <c r="D32" s="100">
        <f>Management!$G$55</f>
        <v>24.6</v>
      </c>
      <c r="E32" s="98">
        <f>Management!$G$54</f>
        <v>32</v>
      </c>
      <c r="F32" s="84">
        <f t="shared" si="0"/>
        <v>1.3008130081300813</v>
      </c>
      <c r="G32" s="93">
        <f>Management!$G$53</f>
        <v>4</v>
      </c>
      <c r="H32" s="37">
        <f>Management!$J$57</f>
        <v>0</v>
      </c>
      <c r="I32" s="84">
        <f>Management!$J$58</f>
        <v>0.07</v>
      </c>
      <c r="J32" s="100">
        <f>Management!$J$55</f>
        <v>24.9</v>
      </c>
      <c r="K32" s="98">
        <f>Management!$J$54</f>
        <v>30</v>
      </c>
      <c r="L32" s="84">
        <f t="shared" si="1"/>
        <v>1.2048192771084338</v>
      </c>
      <c r="M32" s="93">
        <f>Management!$J$53</f>
        <v>6</v>
      </c>
      <c r="N32" s="37">
        <f>Management!$M$57</f>
        <v>1</v>
      </c>
      <c r="O32" s="84">
        <f>Management!$M$58</f>
        <v>0.039</v>
      </c>
      <c r="P32" s="100">
        <f>Management!$M$55</f>
        <v>23.9</v>
      </c>
      <c r="Q32" s="98">
        <f>Management!$M$54</f>
        <v>30</v>
      </c>
      <c r="R32" s="84">
        <f t="shared" si="2"/>
        <v>1.2552301255230127</v>
      </c>
      <c r="S32" s="93">
        <f>Management!$M$53</f>
        <v>5</v>
      </c>
    </row>
    <row r="33" spans="1:19" ht="11.25">
      <c r="A33" s="12" t="s">
        <v>206</v>
      </c>
      <c r="B33" s="37">
        <f>MLL!$G$57</f>
        <v>0</v>
      </c>
      <c r="C33" s="84">
        <f>MLL!$G$58</f>
        <v>0.148</v>
      </c>
      <c r="D33" s="100">
        <f>MLL!$G$55</f>
        <v>15.6</v>
      </c>
      <c r="E33" s="98">
        <f>MLL!$G$54</f>
        <v>18</v>
      </c>
      <c r="F33" s="84">
        <f t="shared" si="0"/>
        <v>1.153846153846154</v>
      </c>
      <c r="G33" s="93">
        <f>MLL!$G$53</f>
        <v>13</v>
      </c>
      <c r="H33" s="37">
        <f>MLL!$J$57</f>
        <v>1</v>
      </c>
      <c r="I33" s="84">
        <f>MLL!$J$58</f>
        <v>0.177</v>
      </c>
      <c r="J33" s="100">
        <f>MLL!$J$55</f>
        <v>17</v>
      </c>
      <c r="K33" s="98">
        <f>MLL!$J$54</f>
        <v>18</v>
      </c>
      <c r="L33" s="84">
        <f t="shared" si="1"/>
        <v>1.0588235294117647</v>
      </c>
      <c r="M33" s="93">
        <f>MLL!$J$53</f>
        <v>15</v>
      </c>
      <c r="N33" s="37">
        <f>MLL!$M$57</f>
        <v>1</v>
      </c>
      <c r="O33" s="84">
        <f>MLL!$M$58</f>
        <v>0.125</v>
      </c>
      <c r="P33" s="100">
        <f>MLL!$M$55</f>
        <v>16</v>
      </c>
      <c r="Q33" s="98">
        <f>MLL!$M$54</f>
        <v>20</v>
      </c>
      <c r="R33" s="84">
        <f t="shared" si="2"/>
        <v>1.25</v>
      </c>
      <c r="S33" s="93">
        <f>MLL!$M$53</f>
        <v>17</v>
      </c>
    </row>
    <row r="34" spans="1:19" ht="11.25">
      <c r="A34" s="279" t="s">
        <v>207</v>
      </c>
      <c r="B34" s="37">
        <f>MLLOnly!$G$57</f>
        <v>0</v>
      </c>
      <c r="C34" s="84">
        <f>MLLOnly!$G$58</f>
        <v>0.181</v>
      </c>
      <c r="D34" s="100">
        <f>MLLOnly!$G$55</f>
        <v>15.6</v>
      </c>
      <c r="E34" s="98">
        <f>MLLOnly!$G$54</f>
        <v>15</v>
      </c>
      <c r="F34" s="84">
        <f t="shared" si="0"/>
        <v>0.9615384615384616</v>
      </c>
      <c r="G34" s="93">
        <f>MLLOnly!$G$53</f>
        <v>7</v>
      </c>
      <c r="H34" s="37">
        <f>MLLOnly!$J$57</f>
        <v>1</v>
      </c>
      <c r="I34" s="84">
        <f>MLLOnly!$J$58</f>
        <v>0.21</v>
      </c>
      <c r="J34" s="100">
        <f>MLLOnly!$J$55</f>
        <v>17</v>
      </c>
      <c r="K34" s="98">
        <f>MLLOnly!$J$54</f>
        <v>15</v>
      </c>
      <c r="L34" s="84">
        <f t="shared" si="1"/>
        <v>0.8823529411764706</v>
      </c>
      <c r="M34" s="93">
        <f>MLLOnly!$J$53</f>
        <v>7</v>
      </c>
      <c r="N34" s="37">
        <f>MLLOnly!$M$57</f>
        <v>1</v>
      </c>
      <c r="O34" s="84">
        <f>MLLOnly!$M$58</f>
        <v>0.167</v>
      </c>
      <c r="P34" s="100">
        <f>MLLOnly!$M$55</f>
        <v>16</v>
      </c>
      <c r="Q34" s="98">
        <f>MLLOnly!$M$54</f>
        <v>16</v>
      </c>
      <c r="R34" s="84">
        <f t="shared" si="2"/>
        <v>1</v>
      </c>
      <c r="S34" s="93">
        <f>MLLOnly!$M$53</f>
        <v>8</v>
      </c>
    </row>
    <row r="35" spans="1:19" ht="11.25">
      <c r="A35" s="279" t="s">
        <v>208</v>
      </c>
      <c r="B35" s="37">
        <f>PHIL!$G$57</f>
        <v>0</v>
      </c>
      <c r="C35" s="84">
        <f>PHIL!$G$58</f>
        <v>0.109</v>
      </c>
      <c r="D35" s="100">
        <f>PHIL!$G$55</f>
        <v>15.6</v>
      </c>
      <c r="E35" s="98">
        <f>PHIL!$G$54</f>
        <v>23</v>
      </c>
      <c r="F35" s="84">
        <f t="shared" si="0"/>
        <v>1.4743589743589745</v>
      </c>
      <c r="G35" s="93">
        <f>PHIL!$G$53</f>
        <v>6</v>
      </c>
      <c r="H35" s="37">
        <f>PHIL!$J$57</f>
        <v>0</v>
      </c>
      <c r="I35" s="84">
        <f>PHIL!$J$58</f>
        <v>0.074</v>
      </c>
      <c r="J35" s="100">
        <f>PHIL!$J$55</f>
        <v>17</v>
      </c>
      <c r="K35" s="98">
        <f>PHIL!$J$54</f>
        <v>28</v>
      </c>
      <c r="L35" s="84">
        <f t="shared" si="1"/>
        <v>1.6470588235294117</v>
      </c>
      <c r="M35" s="93">
        <f>PHIL!$J$53</f>
        <v>8</v>
      </c>
      <c r="N35" s="37">
        <f>PHIL!$M$57</f>
        <v>0</v>
      </c>
      <c r="O35" s="84">
        <f>PHIL!$M$58</f>
        <v>0.039</v>
      </c>
      <c r="P35" s="100">
        <f>PHIL!$M$55</f>
        <v>16</v>
      </c>
      <c r="Q35" s="98">
        <f>PHIL!$M$54</f>
        <v>35</v>
      </c>
      <c r="R35" s="84">
        <f t="shared" si="2"/>
        <v>2.1875</v>
      </c>
      <c r="S35" s="93">
        <f>PHIL!$M$53</f>
        <v>9</v>
      </c>
    </row>
    <row r="36" spans="1:19" ht="11.25">
      <c r="A36" s="279" t="s">
        <v>162</v>
      </c>
      <c r="B36" s="37">
        <f>Music!$G$57</f>
        <v>208</v>
      </c>
      <c r="C36" s="84">
        <f>Music!$G$58</f>
        <v>0.832</v>
      </c>
      <c r="D36" s="100">
        <f>Music!$G$55</f>
        <v>12.8</v>
      </c>
      <c r="E36" s="98">
        <f>Music!$G$54</f>
        <v>2</v>
      </c>
      <c r="F36" s="84">
        <f t="shared" si="0"/>
        <v>0.15625</v>
      </c>
      <c r="G36" s="93">
        <f>Music!$G$53</f>
        <v>13</v>
      </c>
      <c r="H36" s="37">
        <f>Music!$J$57</f>
        <v>237</v>
      </c>
      <c r="I36" s="84">
        <f>Music!$J$58</f>
        <v>0.852</v>
      </c>
      <c r="J36" s="100">
        <f>Music!$J$55</f>
        <v>11.3</v>
      </c>
      <c r="K36" s="98">
        <f>Music!$J$54</f>
        <v>2</v>
      </c>
      <c r="L36" s="84">
        <f t="shared" si="1"/>
        <v>0.17699115044247787</v>
      </c>
      <c r="M36" s="93">
        <f>Music!$J$53</f>
        <v>10</v>
      </c>
      <c r="N36" s="37">
        <f>Music!$M$57</f>
        <v>255</v>
      </c>
      <c r="O36" s="84">
        <f>Music!$M$58</f>
        <v>0.879</v>
      </c>
      <c r="P36" s="100">
        <f>Music!$M$55</f>
        <v>11.1</v>
      </c>
      <c r="Q36" s="98">
        <f>Music!$M$54</f>
        <v>2</v>
      </c>
      <c r="R36" s="84">
        <f t="shared" si="2"/>
        <v>0.1801801801801802</v>
      </c>
      <c r="S36" s="93">
        <f>Music!$M$53</f>
        <v>3</v>
      </c>
    </row>
    <row r="37" spans="1:19" ht="11.25">
      <c r="A37" s="279" t="s">
        <v>168</v>
      </c>
      <c r="B37" s="37">
        <f>Physics!$G$57</f>
        <v>0</v>
      </c>
      <c r="C37" s="84">
        <f>Physics!$G$58</f>
        <v>0.132</v>
      </c>
      <c r="D37" s="100">
        <f>Physics!$G$55</f>
        <v>21.4</v>
      </c>
      <c r="E37" s="98">
        <f>Physics!$G$54</f>
        <v>25</v>
      </c>
      <c r="F37" s="84">
        <f t="shared" si="0"/>
        <v>1.1682242990654206</v>
      </c>
      <c r="G37" s="93">
        <f>Physics!$G$53</f>
        <v>5</v>
      </c>
      <c r="H37" s="37">
        <f>Physics!$J$57</f>
        <v>0</v>
      </c>
      <c r="I37" s="84">
        <f>Physics!$J$58</f>
        <v>0.099</v>
      </c>
      <c r="J37" s="100">
        <f>Physics!$J$55</f>
        <v>24.9</v>
      </c>
      <c r="K37" s="98">
        <f>Physics!$J$54</f>
        <v>26</v>
      </c>
      <c r="L37" s="84">
        <f t="shared" si="1"/>
        <v>1.0441767068273093</v>
      </c>
      <c r="M37" s="93">
        <f>Physics!$J$53</f>
        <v>4</v>
      </c>
      <c r="N37" s="37">
        <f>Physics!$M$57</f>
        <v>0</v>
      </c>
      <c r="O37" s="84">
        <f>Physics!$M$58</f>
        <v>0.147</v>
      </c>
      <c r="P37" s="100">
        <f>Physics!$M$55</f>
        <v>21.6</v>
      </c>
      <c r="Q37" s="98">
        <f>Physics!$M$54</f>
        <v>25</v>
      </c>
      <c r="R37" s="84">
        <f t="shared" si="2"/>
        <v>1.1574074074074074</v>
      </c>
      <c r="S37" s="93">
        <f>Physics!$M$53</f>
        <v>6</v>
      </c>
    </row>
    <row r="38" spans="1:19" ht="11.25">
      <c r="A38" s="279" t="s">
        <v>209</v>
      </c>
      <c r="B38" s="37">
        <f>POLIIAPADM!$G$57</f>
        <v>2</v>
      </c>
      <c r="C38" s="84">
        <f>POLIIAPADM!$G$58</f>
        <v>0.138</v>
      </c>
      <c r="D38" s="100">
        <f>POLIIAPADM!$G$55</f>
        <v>19.2</v>
      </c>
      <c r="E38" s="98">
        <f>POLIIAPADM!$G$54</f>
        <v>26</v>
      </c>
      <c r="F38" s="84">
        <f t="shared" si="0"/>
        <v>1.3541666666666667</v>
      </c>
      <c r="G38" s="93">
        <f>POLIIAPADM!$G$53</f>
        <v>20</v>
      </c>
      <c r="H38" s="37">
        <f>POLIIAPADM!$J$57</f>
        <v>2</v>
      </c>
      <c r="I38" s="84">
        <f>POLIIAPADM!$J$58</f>
        <v>0.13</v>
      </c>
      <c r="J38" s="100">
        <f>POLIIAPADM!$J$55</f>
        <v>18.8</v>
      </c>
      <c r="K38" s="98">
        <f>POLIIAPADM!$J$54</f>
        <v>31</v>
      </c>
      <c r="L38" s="84">
        <f t="shared" si="1"/>
        <v>1.6489361702127658</v>
      </c>
      <c r="M38" s="93">
        <f>POLIIAPADM!$J$53</f>
        <v>19</v>
      </c>
      <c r="N38" s="37">
        <f>POLIIAPADM!$M$57</f>
        <v>1</v>
      </c>
      <c r="O38" s="84">
        <f>POLIIAPADM!$M$58</f>
        <v>0.129</v>
      </c>
      <c r="P38" s="100">
        <f>POLIIAPADM!$M$55</f>
        <v>18.3</v>
      </c>
      <c r="Q38" s="98">
        <f>POLIIAPADM!$M$54</f>
        <v>30</v>
      </c>
      <c r="R38" s="84">
        <f t="shared" si="2"/>
        <v>1.639344262295082</v>
      </c>
      <c r="S38" s="93">
        <f>POLIIAPADM!$M$53</f>
        <v>17</v>
      </c>
    </row>
    <row r="39" spans="1:19" ht="11.25">
      <c r="A39" s="279" t="s">
        <v>170</v>
      </c>
      <c r="B39" s="37">
        <f>PSYC!$G$57</f>
        <v>3</v>
      </c>
      <c r="C39" s="84">
        <f>PSYC!$G$58</f>
        <v>0.153</v>
      </c>
      <c r="D39" s="100">
        <f>PSYC!$G$55</f>
        <v>11.2</v>
      </c>
      <c r="E39" s="98">
        <f>PSYC!$G$54</f>
        <v>30</v>
      </c>
      <c r="F39" s="84">
        <f t="shared" si="0"/>
        <v>2.678571428571429</v>
      </c>
      <c r="G39" s="93">
        <f>PSYC!$G$53</f>
        <v>20</v>
      </c>
      <c r="H39" s="37">
        <f>PSYC!$J$57</f>
        <v>4</v>
      </c>
      <c r="I39" s="84">
        <f>PSYC!$J$58</f>
        <v>0.103</v>
      </c>
      <c r="J39" s="100">
        <f>PSYC!$J$55</f>
        <v>11.8</v>
      </c>
      <c r="K39" s="98">
        <f>PSYC!$J$54</f>
        <v>32</v>
      </c>
      <c r="L39" s="84">
        <f t="shared" si="1"/>
        <v>2.711864406779661</v>
      </c>
      <c r="M39" s="93">
        <f>PSYC!$J$53</f>
        <v>27</v>
      </c>
      <c r="N39" s="37">
        <f>PSYC!$M$57</f>
        <v>7</v>
      </c>
      <c r="O39" s="84">
        <f>PSYC!$M$58</f>
        <v>0.104</v>
      </c>
      <c r="P39" s="100">
        <f>PSYC!$M$55</f>
        <v>11.6</v>
      </c>
      <c r="Q39" s="98">
        <f>PSYC!$M$54</f>
        <v>28</v>
      </c>
      <c r="R39" s="84">
        <f t="shared" si="2"/>
        <v>2.413793103448276</v>
      </c>
      <c r="S39" s="93">
        <f>PSYC!$M$53</f>
        <v>27</v>
      </c>
    </row>
    <row r="40" spans="1:19" ht="11.25">
      <c r="A40" s="279" t="s">
        <v>171</v>
      </c>
      <c r="B40" s="37">
        <f>Sociology!$G$57</f>
        <v>0</v>
      </c>
      <c r="C40" s="84">
        <f>Sociology!$G$58</f>
        <v>0</v>
      </c>
      <c r="D40" s="100">
        <f>Sociology!$G$55</f>
        <v>25</v>
      </c>
      <c r="E40" s="98">
        <f>Sociology!$G$54</f>
        <v>51</v>
      </c>
      <c r="F40" s="84">
        <f t="shared" si="0"/>
        <v>2.04</v>
      </c>
      <c r="G40" s="93">
        <f>Sociology!$G$53</f>
        <v>14</v>
      </c>
      <c r="H40" s="37">
        <f>Sociology!$J$57</f>
        <v>0</v>
      </c>
      <c r="I40" s="84">
        <f>Sociology!$J$58</f>
        <v>0.023</v>
      </c>
      <c r="J40" s="100">
        <f>Sociology!$J$55</f>
        <v>25.3</v>
      </c>
      <c r="K40" s="98">
        <f>Sociology!$J$54</f>
        <v>42</v>
      </c>
      <c r="L40" s="84">
        <f t="shared" si="1"/>
        <v>1.6600790513833992</v>
      </c>
      <c r="M40" s="93">
        <f>Sociology!$J$53</f>
        <v>18</v>
      </c>
      <c r="N40" s="37">
        <f>Sociology!$M$57</f>
        <v>0</v>
      </c>
      <c r="O40" s="84">
        <f>Sociology!$M$58</f>
        <v>0.019</v>
      </c>
      <c r="P40" s="100">
        <f>Sociology!$M$55</f>
        <v>24.4</v>
      </c>
      <c r="Q40" s="98">
        <f>Sociology!$M$54</f>
        <v>37</v>
      </c>
      <c r="R40" s="84">
        <f t="shared" si="2"/>
        <v>1.5163934426229508</v>
      </c>
      <c r="S40" s="93">
        <f>Sociology!$M$53</f>
        <v>13</v>
      </c>
    </row>
    <row r="41" spans="1:19" ht="11.25">
      <c r="A41" s="279" t="s">
        <v>210</v>
      </c>
      <c r="B41" s="37">
        <f>TCOM!$G$57</f>
        <v>0</v>
      </c>
      <c r="C41" s="84">
        <f>TCOM!$G$58</f>
        <v>0.056</v>
      </c>
      <c r="D41" s="100">
        <f>TCOM!$G$55</f>
        <v>19.1</v>
      </c>
      <c r="E41" s="98">
        <f>TCOM!$G$54</f>
        <v>19</v>
      </c>
      <c r="F41" s="84">
        <f t="shared" si="0"/>
        <v>0.9947643979057591</v>
      </c>
      <c r="G41" s="93">
        <f>TCOM!$G$53</f>
        <v>3</v>
      </c>
      <c r="H41" s="37">
        <f>TCOM!$J$57</f>
        <v>0</v>
      </c>
      <c r="I41" s="84">
        <f>TCOM!$J$58</f>
        <v>0.167</v>
      </c>
      <c r="J41" s="100">
        <f>TCOM!$J$55</f>
        <v>19.5</v>
      </c>
      <c r="K41" s="98">
        <f>TCOM!$J$54</f>
        <v>20</v>
      </c>
      <c r="L41" s="84">
        <f t="shared" si="1"/>
        <v>1.0256410256410255</v>
      </c>
      <c r="M41" s="93">
        <f>TCOM!$J$53</f>
        <v>1</v>
      </c>
      <c r="N41" s="37">
        <f>TCOM!$M$57</f>
        <v>0</v>
      </c>
      <c r="O41" s="84">
        <f>TCOM!$M$58</f>
        <v>0</v>
      </c>
      <c r="P41" s="100">
        <f>TCOM!$M$55</f>
        <v>19.2</v>
      </c>
      <c r="Q41" s="98">
        <f>TCOM!$M$54</f>
        <v>21</v>
      </c>
      <c r="R41" s="84">
        <f t="shared" si="2"/>
        <v>1.09375</v>
      </c>
      <c r="S41" s="93">
        <f>TCOM!$M$53</f>
        <v>2</v>
      </c>
    </row>
    <row r="42" spans="1:19" ht="11.25">
      <c r="A42" s="279" t="s">
        <v>446</v>
      </c>
      <c r="B42" s="37">
        <f>Theatre!G57</f>
        <v>0</v>
      </c>
      <c r="C42" s="84">
        <f>Theatre!G58</f>
        <v>0.147</v>
      </c>
      <c r="D42" s="100">
        <f>Theatre!G55</f>
        <v>11.5</v>
      </c>
      <c r="E42" s="98">
        <f>Theatre!G54</f>
        <v>14</v>
      </c>
      <c r="F42" s="84">
        <f t="shared" si="0"/>
        <v>1.2173913043478262</v>
      </c>
      <c r="G42" s="93">
        <f>Theatre!G53</f>
        <v>5</v>
      </c>
      <c r="H42" s="37">
        <f>Theatre!J57</f>
        <v>2</v>
      </c>
      <c r="I42" s="84">
        <f>Theatre!J58</f>
        <v>0.419</v>
      </c>
      <c r="J42" s="100">
        <f>Theatre!J55</f>
        <v>12.6</v>
      </c>
      <c r="K42" s="98">
        <f>Theatre!J54</f>
        <v>12</v>
      </c>
      <c r="L42" s="84">
        <f t="shared" si="1"/>
        <v>0.9523809523809524</v>
      </c>
      <c r="M42" s="93">
        <f>Theatre!J53</f>
        <v>0</v>
      </c>
      <c r="N42" s="37">
        <f>Theatre!M57</f>
        <v>4</v>
      </c>
      <c r="O42" s="84">
        <f>Theatre!M58</f>
        <v>0.353</v>
      </c>
      <c r="P42" s="100">
        <f>Theatre!M55</f>
        <v>11.5</v>
      </c>
      <c r="Q42" s="98">
        <f>Theatre!M54</f>
        <v>11</v>
      </c>
      <c r="R42" s="84">
        <f t="shared" si="2"/>
        <v>0.9565217391304348</v>
      </c>
      <c r="S42" s="93">
        <f>Theatre!M53</f>
        <v>3</v>
      </c>
    </row>
    <row r="43" spans="1:19" ht="11.25">
      <c r="A43" s="279" t="s">
        <v>177</v>
      </c>
      <c r="B43" s="37">
        <f>WAMS!$G$57</f>
        <v>80</v>
      </c>
      <c r="C43" s="84">
        <f>WAMS!$G$58</f>
        <v>0.325</v>
      </c>
      <c r="D43" s="100">
        <f>WAMS!$G$55</f>
        <v>17.2</v>
      </c>
      <c r="E43" s="98">
        <f>WAMS!$G$54</f>
        <v>16</v>
      </c>
      <c r="F43" s="84">
        <f t="shared" si="0"/>
        <v>0.9302325581395349</v>
      </c>
      <c r="G43" s="93">
        <f>WAMS!$G$53</f>
        <v>41</v>
      </c>
      <c r="H43" s="37">
        <f>WAMS!$J$57</f>
        <v>87</v>
      </c>
      <c r="I43" s="84">
        <f>WAMS!$J$58</f>
        <v>0.325</v>
      </c>
      <c r="J43" s="100">
        <f>WAMS!$J$55</f>
        <v>17.3</v>
      </c>
      <c r="K43" s="98">
        <f>WAMS!$J$54</f>
        <v>17</v>
      </c>
      <c r="L43" s="84">
        <f t="shared" si="1"/>
        <v>0.9826589595375722</v>
      </c>
      <c r="M43" s="93">
        <f>WAMS!$J$53</f>
        <v>32</v>
      </c>
      <c r="N43" s="37">
        <f>WAMS!$M$57</f>
        <v>84</v>
      </c>
      <c r="O43" s="84">
        <f>WAMS!$M$58</f>
        <v>0.332</v>
      </c>
      <c r="P43" s="100">
        <f>WAMS!$M$55</f>
        <v>18.8</v>
      </c>
      <c r="Q43" s="98">
        <f>WAMS!$M$54</f>
        <v>16</v>
      </c>
      <c r="R43" s="84">
        <f t="shared" si="2"/>
        <v>0.851063829787234</v>
      </c>
      <c r="S43" s="93">
        <f>WAMS!$M$53</f>
        <v>31</v>
      </c>
    </row>
    <row r="44" spans="1:19" ht="12.75" thickBot="1">
      <c r="A44" s="279" t="s">
        <v>211</v>
      </c>
      <c r="B44" s="82">
        <f>WMST!$G$57</f>
        <v>0</v>
      </c>
      <c r="C44" s="85">
        <f>WMST!$G$58</f>
        <v>0.108</v>
      </c>
      <c r="D44" s="101">
        <f>WMST!$G$55</f>
        <v>20.3</v>
      </c>
      <c r="E44" s="99">
        <f>WMST!$G$54</f>
        <v>17</v>
      </c>
      <c r="F44" s="85">
        <f t="shared" si="0"/>
        <v>0.8374384236453202</v>
      </c>
      <c r="G44" s="95">
        <f>WMST!$G$53</f>
        <v>2</v>
      </c>
      <c r="H44" s="82">
        <f>WMST!$J$57</f>
        <v>0</v>
      </c>
      <c r="I44" s="85">
        <f>WMST!$J$58</f>
        <v>0.114</v>
      </c>
      <c r="J44" s="101">
        <f>WMST!$J$55</f>
        <v>21.5</v>
      </c>
      <c r="K44" s="99">
        <f>WMST!$J$54</f>
        <v>14</v>
      </c>
      <c r="L44" s="85">
        <f t="shared" si="1"/>
        <v>0.6511627906976745</v>
      </c>
      <c r="M44" s="95">
        <f>WMST!$J$53</f>
        <v>2</v>
      </c>
      <c r="N44" s="82">
        <f>WMST!$M$57</f>
        <v>0</v>
      </c>
      <c r="O44" s="85">
        <f>WMST!$M$58</f>
        <v>0.182</v>
      </c>
      <c r="P44" s="101">
        <f>WMST!$M$55</f>
        <v>22.6</v>
      </c>
      <c r="Q44" s="99">
        <f>WMST!$M$54</f>
        <v>10</v>
      </c>
      <c r="R44" s="85">
        <f t="shared" si="2"/>
        <v>0.44247787610619466</v>
      </c>
      <c r="S44" s="95">
        <f>WMST!$M$53</f>
        <v>1</v>
      </c>
    </row>
    <row r="48" spans="1:3" ht="11.25">
      <c r="A48" s="280" t="s">
        <v>705</v>
      </c>
      <c r="B48" s="279"/>
      <c r="C48" s="280"/>
    </row>
  </sheetData>
  <mergeCells count="3">
    <mergeCell ref="B2:G2"/>
    <mergeCell ref="H2:M2"/>
    <mergeCell ref="N2:S2"/>
  </mergeCells>
  <conditionalFormatting sqref="B4:B44">
    <cfRule type="top10" priority="15" dxfId="0" rank="35" percent="1"/>
  </conditionalFormatting>
  <conditionalFormatting sqref="C4:C44">
    <cfRule type="top10" priority="14" dxfId="0" rank="35" percent="1"/>
  </conditionalFormatting>
  <conditionalFormatting sqref="H4:H18 H20:H44">
    <cfRule type="top10" priority="13" dxfId="0" rank="35" percent="1"/>
  </conditionalFormatting>
  <conditionalFormatting sqref="I4:I18 I20:I44">
    <cfRule type="top10" priority="12" dxfId="0" rank="35" percent="1"/>
  </conditionalFormatting>
  <conditionalFormatting sqref="N4:N18 N20:N44">
    <cfRule type="top10" priority="11" dxfId="0" rank="35" percent="1"/>
  </conditionalFormatting>
  <conditionalFormatting sqref="O4:O18 O20:O44">
    <cfRule type="top10" priority="10" dxfId="0" rank="35" percent="1"/>
  </conditionalFormatting>
  <conditionalFormatting sqref="F4:F44">
    <cfRule type="cellIs" priority="9" dxfId="0" operator="lessThan">
      <formula>1</formula>
    </cfRule>
  </conditionalFormatting>
  <conditionalFormatting sqref="L4:L18 L20:L44">
    <cfRule type="cellIs" priority="8" dxfId="0" operator="lessThan">
      <formula>1</formula>
    </cfRule>
  </conditionalFormatting>
  <conditionalFormatting sqref="R4:R18 R20:R44">
    <cfRule type="cellIs" priority="7" dxfId="0" operator="lessThan">
      <formula>1</formula>
    </cfRule>
  </conditionalFormatting>
  <conditionalFormatting sqref="H19">
    <cfRule type="top10" priority="6" dxfId="0" rank="35" percent="1"/>
  </conditionalFormatting>
  <conditionalFormatting sqref="I19">
    <cfRule type="top10" priority="5" dxfId="0" rank="35" percent="1"/>
  </conditionalFormatting>
  <conditionalFormatting sqref="L19">
    <cfRule type="cellIs" priority="4" dxfId="0" operator="lessThan">
      <formula>1</formula>
    </cfRule>
  </conditionalFormatting>
  <conditionalFormatting sqref="N19">
    <cfRule type="top10" priority="3" dxfId="0" rank="35" percent="1"/>
  </conditionalFormatting>
  <conditionalFormatting sqref="O19">
    <cfRule type="top10" priority="2" dxfId="0" rank="35" percent="1"/>
  </conditionalFormatting>
  <conditionalFormatting sqref="R19">
    <cfRule type="cellIs" priority="1" dxfId="0" operator="lessThan">
      <formula>1</formula>
    </cfRule>
  </conditionalFormatting>
  <printOptions/>
  <pageMargins left="0.7" right="0.7" top="0.75" bottom="0.75" header="0.3" footer="0.3"/>
  <pageSetup horizontalDpi="600" verticalDpi="600" orientation="portrait" r:id="rId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V66"/>
  <sheetViews>
    <sheetView showGridLines="0" workbookViewId="0" topLeftCell="A10">
      <selection activeCell="D15" sqref="D15"/>
    </sheetView>
  </sheetViews>
  <sheetFormatPr defaultColWidth="9.00390625" defaultRowHeight="11.25"/>
  <cols>
    <col min="1" max="1" width="4.625" style="1" customWidth="1"/>
    <col min="2" max="5" width="9.00390625" style="1" customWidth="1"/>
    <col min="6" max="6" width="7.125" style="1" customWidth="1"/>
    <col min="7" max="8" width="9.125" style="1" customWidth="1"/>
    <col min="9" max="9" width="1.75390625" style="1" customWidth="1"/>
    <col min="10" max="11" width="9.125" style="1" customWidth="1"/>
    <col min="12" max="12" width="1.75390625" style="1" customWidth="1"/>
    <col min="13" max="14" width="9.125" style="1" customWidth="1"/>
    <col min="15" max="15" width="3.75390625" style="10" customWidth="1"/>
    <col min="16" max="16384" width="9.00390625" style="10" customWidth="1"/>
  </cols>
  <sheetData>
    <row r="1" spans="1:14" s="12" customFormat="1" ht="11.25">
      <c r="A1" s="17" t="s">
        <v>88</v>
      </c>
      <c r="B1" s="18"/>
      <c r="C1" s="18"/>
      <c r="D1" s="18"/>
      <c r="E1" s="18"/>
      <c r="F1" s="18"/>
      <c r="G1" s="18"/>
      <c r="H1" s="18"/>
      <c r="I1" s="18"/>
      <c r="J1" s="18"/>
      <c r="K1" s="18"/>
      <c r="L1" s="18"/>
      <c r="M1" s="18"/>
      <c r="N1" s="19"/>
    </row>
    <row r="2" spans="1:16" s="12" customFormat="1" ht="11.25">
      <c r="A2" s="20" t="s">
        <v>89</v>
      </c>
      <c r="B2" s="15"/>
      <c r="C2" s="15"/>
      <c r="D2" s="15"/>
      <c r="E2" s="15"/>
      <c r="F2" s="15"/>
      <c r="G2" s="328" t="s">
        <v>26</v>
      </c>
      <c r="H2" s="328"/>
      <c r="I2" s="328"/>
      <c r="J2" s="328"/>
      <c r="K2" s="328"/>
      <c r="L2" s="328"/>
      <c r="M2" s="328"/>
      <c r="N2" s="329"/>
      <c r="P2" s="43" t="s">
        <v>27</v>
      </c>
    </row>
    <row r="3" spans="1:14" ht="11.25">
      <c r="A3" s="45"/>
      <c r="B3" s="2"/>
      <c r="C3" s="2"/>
      <c r="D3" s="2"/>
      <c r="E3" s="2"/>
      <c r="F3" s="16" t="s">
        <v>14</v>
      </c>
      <c r="G3" s="330">
        <v>19</v>
      </c>
      <c r="H3" s="327"/>
      <c r="I3" s="2"/>
      <c r="J3" s="330">
        <v>18</v>
      </c>
      <c r="K3" s="327"/>
      <c r="L3" s="2"/>
      <c r="M3" s="330">
        <v>17</v>
      </c>
      <c r="N3" s="331"/>
    </row>
    <row r="4" spans="1:14" ht="11.25">
      <c r="A4" s="20"/>
      <c r="B4" s="2"/>
      <c r="C4" s="2"/>
      <c r="D4" s="2"/>
      <c r="E4" s="2"/>
      <c r="F4" s="16" t="s">
        <v>15</v>
      </c>
      <c r="G4" s="330" t="s">
        <v>80</v>
      </c>
      <c r="H4" s="327"/>
      <c r="I4" s="2"/>
      <c r="J4" s="330" t="s">
        <v>81</v>
      </c>
      <c r="K4" s="327"/>
      <c r="L4" s="2"/>
      <c r="M4" s="330" t="s">
        <v>82</v>
      </c>
      <c r="N4" s="331"/>
    </row>
    <row r="5" spans="1:14" ht="11.25">
      <c r="A5" s="20"/>
      <c r="B5" s="2"/>
      <c r="C5" s="2"/>
      <c r="D5" s="2"/>
      <c r="E5" s="2"/>
      <c r="F5" s="16" t="s">
        <v>16</v>
      </c>
      <c r="G5" s="321" t="s">
        <v>95</v>
      </c>
      <c r="H5" s="322"/>
      <c r="I5" s="2"/>
      <c r="J5" s="28"/>
      <c r="K5" s="28"/>
      <c r="L5" s="28"/>
      <c r="M5" s="28"/>
      <c r="N5" s="33"/>
    </row>
    <row r="6" spans="1:14" ht="11.25">
      <c r="A6" s="20"/>
      <c r="B6" s="2"/>
      <c r="C6" s="2"/>
      <c r="D6" s="2"/>
      <c r="E6" s="2"/>
      <c r="F6" s="16" t="s">
        <v>17</v>
      </c>
      <c r="G6" s="323" t="s">
        <v>130</v>
      </c>
      <c r="H6" s="323"/>
      <c r="I6" s="2"/>
      <c r="J6" s="28"/>
      <c r="K6" s="28"/>
      <c r="L6" s="28"/>
      <c r="M6" s="28"/>
      <c r="N6" s="33"/>
    </row>
    <row r="7" spans="1:14" ht="11.25">
      <c r="A7" s="20"/>
      <c r="B7" s="2"/>
      <c r="C7" s="2"/>
      <c r="D7" s="2"/>
      <c r="E7" s="2"/>
      <c r="F7" s="16" t="s">
        <v>33</v>
      </c>
      <c r="G7" s="324" t="s">
        <v>101</v>
      </c>
      <c r="H7" s="325"/>
      <c r="I7" s="2"/>
      <c r="J7" s="28"/>
      <c r="K7" s="28"/>
      <c r="L7" s="28"/>
      <c r="M7" s="28"/>
      <c r="N7" s="33"/>
    </row>
    <row r="8" spans="1:14" ht="11.25">
      <c r="A8" s="20"/>
      <c r="B8" s="2"/>
      <c r="C8" s="2"/>
      <c r="D8" s="2"/>
      <c r="E8" s="2"/>
      <c r="F8" s="16" t="s">
        <v>18</v>
      </c>
      <c r="G8" s="326">
        <v>43939</v>
      </c>
      <c r="H8" s="327"/>
      <c r="I8" s="2"/>
      <c r="J8" s="28"/>
      <c r="K8" s="28"/>
      <c r="L8" s="28"/>
      <c r="M8" s="28"/>
      <c r="N8" s="33"/>
    </row>
    <row r="9" spans="1:14" ht="12.75">
      <c r="A9" s="21" t="s">
        <v>2</v>
      </c>
      <c r="B9" s="22"/>
      <c r="C9" s="4"/>
      <c r="D9" s="4"/>
      <c r="E9" s="3"/>
      <c r="F9" s="3"/>
      <c r="G9" s="319"/>
      <c r="H9" s="319"/>
      <c r="I9" s="3"/>
      <c r="J9" s="319"/>
      <c r="K9" s="319"/>
      <c r="L9" s="3"/>
      <c r="M9" s="319"/>
      <c r="N9" s="320"/>
    </row>
    <row r="10" spans="1:15" ht="12.75">
      <c r="A10" s="20"/>
      <c r="B10" s="22" t="s">
        <v>56</v>
      </c>
      <c r="C10" s="4"/>
      <c r="D10" s="4"/>
      <c r="E10" s="3"/>
      <c r="F10" s="29"/>
      <c r="G10" s="58"/>
      <c r="H10" s="58"/>
      <c r="I10" s="5"/>
      <c r="J10" s="58"/>
      <c r="K10" s="58"/>
      <c r="L10" s="5"/>
      <c r="M10" s="58"/>
      <c r="N10" s="59"/>
      <c r="O10" s="11"/>
    </row>
    <row r="11" spans="1:16" ht="11.25">
      <c r="A11" s="20"/>
      <c r="B11" s="22"/>
      <c r="C11" s="6"/>
      <c r="D11" s="6"/>
      <c r="E11" s="7"/>
      <c r="F11" s="30" t="s">
        <v>7</v>
      </c>
      <c r="G11" s="313">
        <v>7633</v>
      </c>
      <c r="H11" s="314"/>
      <c r="I11" s="5"/>
      <c r="J11" s="313">
        <v>6542</v>
      </c>
      <c r="K11" s="314"/>
      <c r="L11" s="5"/>
      <c r="M11" s="313">
        <v>6885</v>
      </c>
      <c r="N11" s="315"/>
      <c r="P11" s="10" t="s">
        <v>28</v>
      </c>
    </row>
    <row r="12" spans="1:16" ht="12.75">
      <c r="A12" s="20"/>
      <c r="B12" s="22"/>
      <c r="C12" s="4"/>
      <c r="D12" s="4"/>
      <c r="E12" s="3"/>
      <c r="F12" s="29" t="s">
        <v>5</v>
      </c>
      <c r="G12" s="316">
        <v>0.053</v>
      </c>
      <c r="H12" s="317"/>
      <c r="I12" s="5"/>
      <c r="J12" s="316">
        <v>-0.027</v>
      </c>
      <c r="K12" s="317"/>
      <c r="L12" s="5"/>
      <c r="M12" s="316">
        <v>-0.013</v>
      </c>
      <c r="N12" s="318"/>
      <c r="O12" s="11"/>
      <c r="P12" s="10" t="s">
        <v>29</v>
      </c>
    </row>
    <row r="13" spans="1:16" ht="12.75">
      <c r="A13" s="20"/>
      <c r="B13" s="22"/>
      <c r="C13" s="4"/>
      <c r="D13" s="4"/>
      <c r="E13" s="3"/>
      <c r="F13" s="29" t="s">
        <v>53</v>
      </c>
      <c r="G13" s="313">
        <v>1</v>
      </c>
      <c r="H13" s="314"/>
      <c r="I13" s="5"/>
      <c r="J13" s="313">
        <v>1</v>
      </c>
      <c r="K13" s="314"/>
      <c r="L13" s="5"/>
      <c r="M13" s="313">
        <v>1</v>
      </c>
      <c r="N13" s="315"/>
      <c r="O13" s="11"/>
      <c r="P13" s="10" t="s">
        <v>71</v>
      </c>
    </row>
    <row r="14" spans="1:16" ht="12.75">
      <c r="A14" s="20"/>
      <c r="B14" s="22"/>
      <c r="C14" s="4"/>
      <c r="D14" s="4"/>
      <c r="E14" s="3"/>
      <c r="F14" s="29" t="s">
        <v>54</v>
      </c>
      <c r="G14" s="313">
        <v>18</v>
      </c>
      <c r="H14" s="314"/>
      <c r="I14" s="5"/>
      <c r="J14" s="313">
        <v>17</v>
      </c>
      <c r="K14" s="314"/>
      <c r="L14" s="5"/>
      <c r="M14" s="313">
        <v>22</v>
      </c>
      <c r="N14" s="315"/>
      <c r="O14" s="11"/>
      <c r="P14" s="10" t="s">
        <v>70</v>
      </c>
    </row>
    <row r="15" spans="1:16" ht="12.75">
      <c r="A15" s="20"/>
      <c r="B15" s="22"/>
      <c r="C15" s="4"/>
      <c r="D15" s="4"/>
      <c r="E15" s="3"/>
      <c r="F15" s="29" t="s">
        <v>55</v>
      </c>
      <c r="G15" s="313">
        <v>4</v>
      </c>
      <c r="H15" s="314"/>
      <c r="I15" s="5"/>
      <c r="J15" s="313">
        <v>5</v>
      </c>
      <c r="K15" s="314"/>
      <c r="L15" s="5"/>
      <c r="M15" s="313">
        <v>4</v>
      </c>
      <c r="N15" s="315"/>
      <c r="O15" s="11"/>
      <c r="P15" s="10" t="s">
        <v>69</v>
      </c>
    </row>
    <row r="16" spans="1:16" ht="12.75">
      <c r="A16" s="20"/>
      <c r="B16" s="22"/>
      <c r="C16" s="4"/>
      <c r="D16" s="4"/>
      <c r="E16" s="3"/>
      <c r="F16" s="29" t="s">
        <v>78</v>
      </c>
      <c r="G16" s="313">
        <v>9</v>
      </c>
      <c r="H16" s="314"/>
      <c r="I16" s="5"/>
      <c r="J16" s="313">
        <v>12</v>
      </c>
      <c r="K16" s="314"/>
      <c r="L16" s="5"/>
      <c r="M16" s="313">
        <v>12</v>
      </c>
      <c r="N16" s="315"/>
      <c r="O16" s="11"/>
      <c r="P16" s="10" t="s">
        <v>86</v>
      </c>
    </row>
    <row r="17" spans="1:15" ht="12.75">
      <c r="A17" s="20"/>
      <c r="B17" s="22" t="s">
        <v>57</v>
      </c>
      <c r="C17" s="4"/>
      <c r="D17" s="4"/>
      <c r="E17" s="3"/>
      <c r="F17" s="29"/>
      <c r="G17" s="58"/>
      <c r="H17" s="58"/>
      <c r="I17" s="5"/>
      <c r="J17" s="58"/>
      <c r="K17" s="58"/>
      <c r="L17" s="5"/>
      <c r="M17" s="58"/>
      <c r="N17" s="59"/>
      <c r="O17" s="11"/>
    </row>
    <row r="18" spans="1:16" ht="11.25">
      <c r="A18" s="20"/>
      <c r="B18" s="22"/>
      <c r="C18" s="6"/>
      <c r="D18" s="6"/>
      <c r="E18" s="7"/>
      <c r="F18" s="30" t="s">
        <v>7</v>
      </c>
      <c r="G18" s="313"/>
      <c r="H18" s="314"/>
      <c r="I18" s="5"/>
      <c r="J18" s="313"/>
      <c r="K18" s="314"/>
      <c r="L18" s="5"/>
      <c r="M18" s="313"/>
      <c r="N18" s="315"/>
      <c r="P18" s="10" t="s">
        <v>28</v>
      </c>
    </row>
    <row r="19" spans="1:16" ht="12.75">
      <c r="A19" s="20"/>
      <c r="B19" s="22"/>
      <c r="C19" s="4"/>
      <c r="D19" s="4"/>
      <c r="E19" s="3"/>
      <c r="F19" s="29" t="s">
        <v>5</v>
      </c>
      <c r="G19" s="316"/>
      <c r="H19" s="317"/>
      <c r="I19" s="5"/>
      <c r="J19" s="316"/>
      <c r="K19" s="317"/>
      <c r="L19" s="5"/>
      <c r="M19" s="316"/>
      <c r="N19" s="318"/>
      <c r="O19" s="11"/>
      <c r="P19" s="10" t="s">
        <v>29</v>
      </c>
    </row>
    <row r="20" spans="1:16" ht="12.75">
      <c r="A20" s="20"/>
      <c r="B20" s="22"/>
      <c r="C20" s="4"/>
      <c r="D20" s="4"/>
      <c r="E20" s="3"/>
      <c r="F20" s="29" t="s">
        <v>58</v>
      </c>
      <c r="G20" s="313"/>
      <c r="H20" s="314"/>
      <c r="I20" s="5"/>
      <c r="J20" s="313"/>
      <c r="K20" s="314"/>
      <c r="L20" s="5"/>
      <c r="M20" s="313"/>
      <c r="N20" s="315"/>
      <c r="O20" s="11"/>
      <c r="P20" s="10" t="s">
        <v>71</v>
      </c>
    </row>
    <row r="21" spans="1:16" ht="12.75">
      <c r="A21" s="20"/>
      <c r="B21" s="22"/>
      <c r="C21" s="4"/>
      <c r="D21" s="4"/>
      <c r="E21" s="3"/>
      <c r="F21" s="29" t="s">
        <v>59</v>
      </c>
      <c r="G21" s="313"/>
      <c r="H21" s="314"/>
      <c r="I21" s="5"/>
      <c r="J21" s="313"/>
      <c r="K21" s="314"/>
      <c r="L21" s="5"/>
      <c r="M21" s="313"/>
      <c r="N21" s="315"/>
      <c r="O21" s="11"/>
      <c r="P21" s="10" t="s">
        <v>83</v>
      </c>
    </row>
    <row r="22" spans="1:16" ht="12.75">
      <c r="A22" s="20"/>
      <c r="B22" s="22"/>
      <c r="C22" s="4"/>
      <c r="D22" s="4"/>
      <c r="E22" s="3"/>
      <c r="F22" s="29" t="s">
        <v>78</v>
      </c>
      <c r="G22" s="313"/>
      <c r="H22" s="314"/>
      <c r="I22" s="5"/>
      <c r="J22" s="313"/>
      <c r="K22" s="314"/>
      <c r="L22" s="5"/>
      <c r="M22" s="313"/>
      <c r="N22" s="315"/>
      <c r="O22" s="11"/>
      <c r="P22" s="10" t="s">
        <v>86</v>
      </c>
    </row>
    <row r="23" spans="1:14" ht="11.25">
      <c r="A23" s="20"/>
      <c r="B23" s="4" t="s">
        <v>6</v>
      </c>
      <c r="C23" s="4"/>
      <c r="D23" s="4"/>
      <c r="E23" s="3"/>
      <c r="F23" s="3"/>
      <c r="G23" s="23"/>
      <c r="H23" s="23"/>
      <c r="I23" s="5"/>
      <c r="J23" s="23"/>
      <c r="K23" s="23"/>
      <c r="L23" s="5"/>
      <c r="M23" s="23"/>
      <c r="N23" s="24"/>
    </row>
    <row r="24" spans="1:16" ht="11.25">
      <c r="A24" s="20"/>
      <c r="B24" s="22"/>
      <c r="C24" s="4"/>
      <c r="D24" s="4"/>
      <c r="E24" s="3"/>
      <c r="F24" s="29" t="s">
        <v>20</v>
      </c>
      <c r="G24" s="293">
        <v>0.095</v>
      </c>
      <c r="H24" s="294"/>
      <c r="I24" s="3"/>
      <c r="J24" s="293">
        <v>0.097</v>
      </c>
      <c r="K24" s="294"/>
      <c r="L24" s="3"/>
      <c r="M24" s="293">
        <v>0.107</v>
      </c>
      <c r="N24" s="295"/>
      <c r="P24" s="10" t="s">
        <v>30</v>
      </c>
    </row>
    <row r="25" spans="1:16" ht="11.25">
      <c r="A25" s="20"/>
      <c r="B25" s="22"/>
      <c r="C25" s="4"/>
      <c r="D25" s="4"/>
      <c r="E25" s="3"/>
      <c r="F25" s="29" t="s">
        <v>21</v>
      </c>
      <c r="G25" s="293">
        <v>0.905</v>
      </c>
      <c r="H25" s="294"/>
      <c r="I25" s="3"/>
      <c r="J25" s="293">
        <v>0.903</v>
      </c>
      <c r="K25" s="294"/>
      <c r="L25" s="3"/>
      <c r="M25" s="293">
        <v>0.893</v>
      </c>
      <c r="N25" s="295"/>
      <c r="P25" s="10" t="s">
        <v>31</v>
      </c>
    </row>
    <row r="26" spans="1:14" ht="11.25">
      <c r="A26" s="62" t="s">
        <v>60</v>
      </c>
      <c r="B26" s="22"/>
      <c r="C26" s="4"/>
      <c r="D26" s="4"/>
      <c r="E26" s="3"/>
      <c r="F26" s="29"/>
      <c r="G26" s="60"/>
      <c r="H26" s="60"/>
      <c r="I26" s="5"/>
      <c r="J26" s="60"/>
      <c r="K26" s="60"/>
      <c r="L26" s="5"/>
      <c r="M26" s="60"/>
      <c r="N26" s="61"/>
    </row>
    <row r="27" spans="1:16" ht="11.25">
      <c r="A27" s="20"/>
      <c r="B27" s="22"/>
      <c r="C27" s="4"/>
      <c r="D27" s="4"/>
      <c r="E27" s="3"/>
      <c r="F27" s="29" t="s">
        <v>61</v>
      </c>
      <c r="G27" s="313">
        <f>428503.43-G28</f>
        <v>389158.06</v>
      </c>
      <c r="H27" s="314"/>
      <c r="I27" s="5"/>
      <c r="J27" s="313">
        <f>427459.08-J28</f>
        <v>394902.36</v>
      </c>
      <c r="K27" s="314"/>
      <c r="L27" s="5"/>
      <c r="M27" s="313">
        <f>363375.85-M28</f>
        <v>333040.52999999997</v>
      </c>
      <c r="N27" s="315"/>
      <c r="P27" s="10" t="s">
        <v>91</v>
      </c>
    </row>
    <row r="28" spans="1:16" ht="11.25">
      <c r="A28" s="20"/>
      <c r="B28" s="22"/>
      <c r="C28" s="4"/>
      <c r="D28" s="4"/>
      <c r="E28" s="3"/>
      <c r="F28" s="29" t="s">
        <v>62</v>
      </c>
      <c r="G28" s="313">
        <v>39345.37</v>
      </c>
      <c r="H28" s="314"/>
      <c r="I28" s="5"/>
      <c r="J28" s="313">
        <v>32556.72</v>
      </c>
      <c r="K28" s="314"/>
      <c r="L28" s="5"/>
      <c r="M28" s="313">
        <v>30335.32</v>
      </c>
      <c r="N28" s="315"/>
      <c r="P28" s="10" t="s">
        <v>91</v>
      </c>
    </row>
    <row r="29" spans="1:16" ht="11.25">
      <c r="A29" s="20"/>
      <c r="B29" s="22"/>
      <c r="C29" s="4"/>
      <c r="D29" s="4"/>
      <c r="E29" s="3"/>
      <c r="F29" s="29" t="s">
        <v>63</v>
      </c>
      <c r="G29" s="310">
        <v>134105.88</v>
      </c>
      <c r="H29" s="311"/>
      <c r="I29" s="5"/>
      <c r="J29" s="310">
        <v>133542.3</v>
      </c>
      <c r="K29" s="311"/>
      <c r="L29" s="5"/>
      <c r="M29" s="310">
        <v>119874.73</v>
      </c>
      <c r="N29" s="312"/>
      <c r="P29" s="10" t="s">
        <v>90</v>
      </c>
    </row>
    <row r="30" spans="1:14" ht="11.25">
      <c r="A30" s="20"/>
      <c r="B30" s="22"/>
      <c r="C30" s="4"/>
      <c r="D30" s="4"/>
      <c r="E30" s="3"/>
      <c r="F30" s="29"/>
      <c r="G30" s="73"/>
      <c r="H30" s="74"/>
      <c r="I30" s="5"/>
      <c r="J30" s="73"/>
      <c r="K30" s="74"/>
      <c r="L30" s="5"/>
      <c r="M30" s="73"/>
      <c r="N30" s="75"/>
    </row>
    <row r="31" spans="1:18" ht="11.25">
      <c r="A31" s="20"/>
      <c r="B31" s="4"/>
      <c r="C31" s="4"/>
      <c r="D31" s="4"/>
      <c r="E31" s="3"/>
      <c r="F31" s="63" t="s">
        <v>64</v>
      </c>
      <c r="G31" s="299">
        <f>(SUM(G27:G29))/(G11+G18)</f>
        <v>73.70749508712171</v>
      </c>
      <c r="H31" s="300"/>
      <c r="I31" s="22"/>
      <c r="J31" s="299">
        <f>SUM(J27:K29)/(J11+J18)</f>
        <v>85.75380311831242</v>
      </c>
      <c r="K31" s="300"/>
      <c r="L31" s="22"/>
      <c r="M31" s="299">
        <f>SUM(M27:N29)/(M11+M18)</f>
        <v>70.18890050835148</v>
      </c>
      <c r="N31" s="301"/>
      <c r="O31"/>
      <c r="P31" t="s">
        <v>32</v>
      </c>
      <c r="Q31"/>
      <c r="R31"/>
    </row>
    <row r="32" spans="1:14" ht="11.25">
      <c r="A32" s="21" t="s">
        <v>3</v>
      </c>
      <c r="B32" s="22"/>
      <c r="C32" s="4"/>
      <c r="D32" s="4"/>
      <c r="E32" s="3"/>
      <c r="F32" s="3"/>
      <c r="G32" s="8"/>
      <c r="H32" s="8"/>
      <c r="I32" s="3"/>
      <c r="J32" s="8"/>
      <c r="K32" s="8"/>
      <c r="L32" s="3"/>
      <c r="M32" s="8"/>
      <c r="N32" s="25"/>
    </row>
    <row r="33" spans="1:22" ht="11.25">
      <c r="A33" s="20"/>
      <c r="B33" s="22"/>
      <c r="C33" s="4"/>
      <c r="D33" s="48"/>
      <c r="E33" s="49"/>
      <c r="F33" s="50" t="s">
        <v>43</v>
      </c>
      <c r="G33" s="302">
        <f>1.6+3.2</f>
        <v>4.800000000000001</v>
      </c>
      <c r="H33" s="303"/>
      <c r="I33" s="56"/>
      <c r="J33" s="302">
        <f>1.1+2.1</f>
        <v>3.2</v>
      </c>
      <c r="K33" s="303"/>
      <c r="L33" s="56"/>
      <c r="M33" s="302">
        <f>1.6+2.5</f>
        <v>4.1</v>
      </c>
      <c r="N33" s="304"/>
      <c r="O33"/>
      <c r="P33" s="46" t="s">
        <v>47</v>
      </c>
      <c r="Q33" s="47"/>
      <c r="R33" s="47"/>
      <c r="S33" s="46"/>
      <c r="T33" s="46"/>
      <c r="U33" s="46"/>
      <c r="V33" s="46"/>
    </row>
    <row r="34" spans="1:22" ht="11.25">
      <c r="A34" s="20"/>
      <c r="B34" s="22"/>
      <c r="C34" s="4"/>
      <c r="D34" s="48"/>
      <c r="E34" s="49"/>
      <c r="F34" s="50" t="s">
        <v>44</v>
      </c>
      <c r="G34" s="302">
        <f>0.4/36*45</f>
        <v>0.5</v>
      </c>
      <c r="H34" s="303"/>
      <c r="I34" s="56"/>
      <c r="J34" s="302">
        <f>0.6/36*45</f>
        <v>0.75</v>
      </c>
      <c r="K34" s="303"/>
      <c r="L34" s="56"/>
      <c r="M34" s="302">
        <f>0.1/36*45</f>
        <v>0.125</v>
      </c>
      <c r="N34" s="304"/>
      <c r="O34"/>
      <c r="P34" s="46" t="s">
        <v>48</v>
      </c>
      <c r="Q34" s="47"/>
      <c r="R34" s="47"/>
      <c r="S34" s="46"/>
      <c r="T34" s="46"/>
      <c r="U34" s="46"/>
      <c r="V34" s="46"/>
    </row>
    <row r="35" spans="1:22" ht="11.25">
      <c r="A35" s="20"/>
      <c r="B35" s="22"/>
      <c r="C35" s="4"/>
      <c r="D35" s="48"/>
      <c r="E35" s="49"/>
      <c r="F35" s="50" t="s">
        <v>45</v>
      </c>
      <c r="G35" s="307">
        <f>0.4/36*45</f>
        <v>0.5</v>
      </c>
      <c r="H35" s="308"/>
      <c r="I35" s="56"/>
      <c r="J35" s="307">
        <f>1.9/36*45</f>
        <v>2.375</v>
      </c>
      <c r="K35" s="308"/>
      <c r="L35" s="56"/>
      <c r="M35" s="307">
        <f>1.9/36*45</f>
        <v>2.375</v>
      </c>
      <c r="N35" s="309"/>
      <c r="O35"/>
      <c r="P35" s="46" t="s">
        <v>50</v>
      </c>
      <c r="Q35" s="47"/>
      <c r="R35" s="47"/>
      <c r="S35" s="46"/>
      <c r="T35" s="46"/>
      <c r="U35" s="46"/>
      <c r="V35" s="46"/>
    </row>
    <row r="36" spans="1:22" ht="11.25">
      <c r="A36" s="20"/>
      <c r="B36" s="22"/>
      <c r="C36" s="4"/>
      <c r="D36" s="48"/>
      <c r="E36" s="49"/>
      <c r="F36" s="50" t="s">
        <v>46</v>
      </c>
      <c r="G36" s="305">
        <v>0</v>
      </c>
      <c r="H36" s="305"/>
      <c r="I36" s="56"/>
      <c r="J36" s="305">
        <v>0</v>
      </c>
      <c r="K36" s="305"/>
      <c r="L36" s="56"/>
      <c r="M36" s="305">
        <v>0</v>
      </c>
      <c r="N36" s="306"/>
      <c r="O36"/>
      <c r="P36" s="46" t="s">
        <v>49</v>
      </c>
      <c r="Q36" s="47"/>
      <c r="R36" s="47"/>
      <c r="S36" s="46"/>
      <c r="T36" s="46"/>
      <c r="U36" s="46"/>
      <c r="V36" s="46"/>
    </row>
    <row r="37" spans="1:18" s="69" customFormat="1" ht="11.25">
      <c r="A37" s="64"/>
      <c r="B37" s="65"/>
      <c r="C37" s="66"/>
      <c r="D37" s="66"/>
      <c r="E37" s="5"/>
      <c r="F37" s="67"/>
      <c r="G37" s="70"/>
      <c r="H37" s="70"/>
      <c r="I37" s="68"/>
      <c r="J37" s="70"/>
      <c r="K37" s="70"/>
      <c r="L37" s="68"/>
      <c r="M37" s="70"/>
      <c r="N37" s="71"/>
      <c r="O37" s="12"/>
      <c r="Q37" s="12"/>
      <c r="R37" s="12"/>
    </row>
    <row r="38" spans="1:22" ht="11.25">
      <c r="A38" s="20"/>
      <c r="B38" s="22"/>
      <c r="C38" s="4"/>
      <c r="D38" s="48"/>
      <c r="E38" s="49"/>
      <c r="F38" s="50" t="s">
        <v>66</v>
      </c>
      <c r="G38" s="305">
        <f>1590+5737</f>
        <v>7327</v>
      </c>
      <c r="H38" s="305"/>
      <c r="I38" s="56"/>
      <c r="J38" s="305">
        <f>981+1907</f>
        <v>2888</v>
      </c>
      <c r="K38" s="305"/>
      <c r="L38" s="56"/>
      <c r="M38" s="305">
        <f>1180+1935</f>
        <v>3115</v>
      </c>
      <c r="N38" s="306"/>
      <c r="O38"/>
      <c r="P38" s="46" t="s">
        <v>72</v>
      </c>
      <c r="Q38" s="47"/>
      <c r="R38" s="47"/>
      <c r="S38" s="46"/>
      <c r="T38" s="46"/>
      <c r="U38" s="46"/>
      <c r="V38" s="46"/>
    </row>
    <row r="39" spans="1:22" ht="11.25">
      <c r="A39" s="20"/>
      <c r="B39" s="22"/>
      <c r="C39" s="4"/>
      <c r="D39" s="48"/>
      <c r="E39" s="49"/>
      <c r="F39" s="50" t="s">
        <v>65</v>
      </c>
      <c r="G39" s="299">
        <v>163</v>
      </c>
      <c r="H39" s="300"/>
      <c r="I39" s="56"/>
      <c r="J39" s="299">
        <v>424</v>
      </c>
      <c r="K39" s="300"/>
      <c r="L39" s="56"/>
      <c r="M39" s="299">
        <v>25</v>
      </c>
      <c r="N39" s="301"/>
      <c r="O39"/>
      <c r="P39" s="46" t="s">
        <v>73</v>
      </c>
      <c r="Q39" s="47"/>
      <c r="R39" s="47"/>
      <c r="S39" s="46"/>
      <c r="T39" s="46"/>
      <c r="U39" s="46"/>
      <c r="V39" s="46"/>
    </row>
    <row r="40" spans="1:22" ht="11.25">
      <c r="A40" s="20"/>
      <c r="B40" s="22"/>
      <c r="C40" s="4"/>
      <c r="D40" s="48"/>
      <c r="E40" s="49"/>
      <c r="F40" s="50" t="s">
        <v>67</v>
      </c>
      <c r="G40" s="302">
        <v>235</v>
      </c>
      <c r="H40" s="303"/>
      <c r="I40" s="56"/>
      <c r="J40" s="302">
        <v>3360</v>
      </c>
      <c r="K40" s="303"/>
      <c r="L40" s="56"/>
      <c r="M40" s="302">
        <v>3869</v>
      </c>
      <c r="N40" s="304"/>
      <c r="O40"/>
      <c r="P40" s="46" t="s">
        <v>75</v>
      </c>
      <c r="Q40" s="47"/>
      <c r="R40" s="47"/>
      <c r="S40" s="46"/>
      <c r="T40" s="46"/>
      <c r="U40" s="46"/>
      <c r="V40" s="46"/>
    </row>
    <row r="41" spans="1:22" ht="11.25">
      <c r="A41" s="20"/>
      <c r="B41" s="22"/>
      <c r="C41" s="4"/>
      <c r="D41" s="48"/>
      <c r="E41" s="49"/>
      <c r="F41" s="50" t="s">
        <v>68</v>
      </c>
      <c r="G41" s="302">
        <v>0</v>
      </c>
      <c r="H41" s="303"/>
      <c r="I41" s="56"/>
      <c r="J41" s="302">
        <v>0</v>
      </c>
      <c r="K41" s="303"/>
      <c r="L41" s="56"/>
      <c r="M41" s="302">
        <v>0</v>
      </c>
      <c r="N41" s="304"/>
      <c r="O41"/>
      <c r="P41" s="46" t="s">
        <v>74</v>
      </c>
      <c r="Q41" s="47"/>
      <c r="R41" s="47"/>
      <c r="S41" s="46"/>
      <c r="T41" s="46"/>
      <c r="U41" s="46"/>
      <c r="V41" s="46"/>
    </row>
    <row r="42" spans="1:18" ht="11.25">
      <c r="A42" s="20"/>
      <c r="B42" s="4"/>
      <c r="C42" s="4"/>
      <c r="D42" s="4"/>
      <c r="E42" s="3"/>
      <c r="F42" s="3"/>
      <c r="G42" s="9"/>
      <c r="H42" s="9"/>
      <c r="I42" s="22"/>
      <c r="J42" s="9"/>
      <c r="K42" s="9"/>
      <c r="L42" s="22"/>
      <c r="M42" s="9"/>
      <c r="N42" s="26"/>
      <c r="O42"/>
      <c r="P42"/>
      <c r="Q42"/>
      <c r="R42"/>
    </row>
    <row r="43" spans="1:18" ht="11.25">
      <c r="A43" s="20"/>
      <c r="B43" s="22"/>
      <c r="C43" s="4"/>
      <c r="D43" s="4"/>
      <c r="E43" s="3"/>
      <c r="F43" s="29" t="s">
        <v>22</v>
      </c>
      <c r="G43" s="302">
        <f>+(G11+G18)/(G33+G34)</f>
        <v>1440.1886792452829</v>
      </c>
      <c r="H43" s="303"/>
      <c r="I43" s="22"/>
      <c r="J43" s="302">
        <f>+(J11+J18)/(J33+J34)</f>
        <v>1656.2025316455695</v>
      </c>
      <c r="K43" s="303"/>
      <c r="L43" s="22"/>
      <c r="M43" s="302">
        <f>+(M11+M18)/(M33+M34)</f>
        <v>1629.5857988165683</v>
      </c>
      <c r="N43" s="303"/>
      <c r="O43"/>
      <c r="P43" t="s">
        <v>32</v>
      </c>
      <c r="Q43"/>
      <c r="R43"/>
    </row>
    <row r="44" spans="1:18" ht="11.25">
      <c r="A44" s="20"/>
      <c r="B44" s="22"/>
      <c r="C44" s="4"/>
      <c r="D44" s="4"/>
      <c r="E44" s="3"/>
      <c r="F44" s="29" t="s">
        <v>216</v>
      </c>
      <c r="G44" s="332">
        <f>(G11+G18)/SUM(G33:H36)</f>
        <v>1316.0344827586205</v>
      </c>
      <c r="H44" s="332"/>
      <c r="I44" s="22"/>
      <c r="J44" s="332">
        <f>(J11+J18)/SUM(J33:K36)</f>
        <v>1034.308300395257</v>
      </c>
      <c r="K44" s="332"/>
      <c r="L44" s="22"/>
      <c r="M44" s="332">
        <f>(M11+M18)/SUM(M33:N36)</f>
        <v>1043.1818181818182</v>
      </c>
      <c r="N44" s="332"/>
      <c r="O44"/>
      <c r="P44"/>
      <c r="Q44"/>
      <c r="R44"/>
    </row>
    <row r="45" spans="1:17" ht="11.25">
      <c r="A45" s="20"/>
      <c r="B45" s="4"/>
      <c r="C45" s="4"/>
      <c r="D45" s="4"/>
      <c r="E45" s="3"/>
      <c r="F45" s="3"/>
      <c r="G45" s="34" t="s">
        <v>24</v>
      </c>
      <c r="H45" s="34" t="s">
        <v>23</v>
      </c>
      <c r="I45" s="28"/>
      <c r="J45" s="34" t="s">
        <v>24</v>
      </c>
      <c r="K45" s="34" t="s">
        <v>23</v>
      </c>
      <c r="L45" s="28"/>
      <c r="M45" s="34" t="s">
        <v>24</v>
      </c>
      <c r="N45" s="35" t="s">
        <v>23</v>
      </c>
      <c r="O45" s="14"/>
      <c r="P45" s="13"/>
      <c r="Q45" s="31"/>
    </row>
    <row r="46" spans="1:22" ht="11.25">
      <c r="A46" s="20"/>
      <c r="B46" s="4"/>
      <c r="C46" s="4"/>
      <c r="D46" s="52"/>
      <c r="E46" s="53"/>
      <c r="F46" s="54" t="s">
        <v>25</v>
      </c>
      <c r="G46" s="76">
        <v>5</v>
      </c>
      <c r="H46" s="32">
        <f>G46/(G46+G47+G48+G49)</f>
        <v>1</v>
      </c>
      <c r="I46" s="28"/>
      <c r="J46" s="76">
        <v>5</v>
      </c>
      <c r="K46" s="32">
        <f>J46/(J46+J47+J48+J49)</f>
        <v>1</v>
      </c>
      <c r="L46" s="28"/>
      <c r="M46" s="76">
        <v>5</v>
      </c>
      <c r="N46" s="36">
        <f>M46/(M46+M47+M48+M49)</f>
        <v>1</v>
      </c>
      <c r="O46" s="14"/>
      <c r="P46" s="55" t="s">
        <v>84</v>
      </c>
      <c r="Q46" s="51"/>
      <c r="R46" s="55"/>
      <c r="S46" s="55"/>
      <c r="T46" s="55"/>
      <c r="U46" s="55"/>
      <c r="V46" s="55"/>
    </row>
    <row r="47" spans="1:22" ht="11.25">
      <c r="A47" s="20"/>
      <c r="B47" s="4"/>
      <c r="C47" s="4"/>
      <c r="D47" s="52"/>
      <c r="E47" s="53"/>
      <c r="F47" s="54" t="s">
        <v>13</v>
      </c>
      <c r="G47" s="76">
        <v>0</v>
      </c>
      <c r="H47" s="32">
        <f>G47/(G46+G47+G48+G49)</f>
        <v>0</v>
      </c>
      <c r="I47" s="28"/>
      <c r="J47" s="76">
        <v>0</v>
      </c>
      <c r="K47" s="32">
        <f>J47/(J46+J47+J48+J49)</f>
        <v>0</v>
      </c>
      <c r="L47" s="28"/>
      <c r="M47" s="76">
        <v>0</v>
      </c>
      <c r="N47" s="36">
        <f>M47/(M46+M47+M48+M49)</f>
        <v>0</v>
      </c>
      <c r="O47" s="14"/>
      <c r="P47" s="55" t="s">
        <v>84</v>
      </c>
      <c r="Q47" s="51"/>
      <c r="R47" s="55"/>
      <c r="S47" s="55"/>
      <c r="T47" s="55"/>
      <c r="U47" s="55"/>
      <c r="V47" s="55"/>
    </row>
    <row r="48" spans="1:22" ht="11.25">
      <c r="A48" s="20"/>
      <c r="B48" s="4"/>
      <c r="C48" s="4"/>
      <c r="D48" s="52"/>
      <c r="E48" s="53"/>
      <c r="F48" s="54" t="s">
        <v>51</v>
      </c>
      <c r="G48" s="76">
        <v>0</v>
      </c>
      <c r="H48" s="32">
        <f>G48/(G46+G47+G48+G49)</f>
        <v>0</v>
      </c>
      <c r="I48" s="28"/>
      <c r="J48" s="76">
        <v>0</v>
      </c>
      <c r="K48" s="32">
        <f>J48/(J46+J47+J48+J49)</f>
        <v>0</v>
      </c>
      <c r="L48" s="28"/>
      <c r="M48" s="76">
        <v>0</v>
      </c>
      <c r="N48" s="36">
        <f>M48/(M46+M47+M48+M49)</f>
        <v>0</v>
      </c>
      <c r="O48" s="14"/>
      <c r="P48" s="55" t="s">
        <v>85</v>
      </c>
      <c r="Q48" s="51"/>
      <c r="R48" s="55"/>
      <c r="S48" s="55"/>
      <c r="T48" s="55"/>
      <c r="U48" s="55"/>
      <c r="V48" s="55"/>
    </row>
    <row r="49" spans="1:22" ht="11.25">
      <c r="A49" s="20"/>
      <c r="B49" s="4"/>
      <c r="C49" s="4"/>
      <c r="D49" s="52"/>
      <c r="E49" s="53"/>
      <c r="F49" s="54" t="s">
        <v>52</v>
      </c>
      <c r="G49" s="76">
        <v>0</v>
      </c>
      <c r="H49" s="32">
        <f>G49/(G46+G47+G48+G49)</f>
        <v>0</v>
      </c>
      <c r="I49" s="28"/>
      <c r="J49" s="76">
        <v>0</v>
      </c>
      <c r="K49" s="32">
        <f>J49/(J46+J47+J48+J49)</f>
        <v>0</v>
      </c>
      <c r="L49" s="28"/>
      <c r="M49" s="76">
        <v>0</v>
      </c>
      <c r="N49" s="36">
        <f>M49/(M46+M47+M48+M49)</f>
        <v>0</v>
      </c>
      <c r="O49" s="14"/>
      <c r="P49" s="55" t="s">
        <v>85</v>
      </c>
      <c r="Q49" s="51"/>
      <c r="R49" s="55"/>
      <c r="S49" s="55"/>
      <c r="T49" s="55"/>
      <c r="U49" s="55"/>
      <c r="V49" s="55"/>
    </row>
    <row r="50" spans="1:14" ht="11.25">
      <c r="A50" s="21" t="s">
        <v>4</v>
      </c>
      <c r="B50" s="22"/>
      <c r="C50" s="4"/>
      <c r="D50" s="4"/>
      <c r="E50" s="3"/>
      <c r="F50" s="3"/>
      <c r="G50" s="8"/>
      <c r="H50" s="8"/>
      <c r="I50" s="3"/>
      <c r="J50" s="8"/>
      <c r="K50" s="8"/>
      <c r="L50" s="3"/>
      <c r="M50" s="8"/>
      <c r="N50" s="25"/>
    </row>
    <row r="51" spans="1:16" ht="11.25">
      <c r="A51" s="21"/>
      <c r="B51" s="22"/>
      <c r="C51" s="4"/>
      <c r="D51" s="4"/>
      <c r="E51" s="3"/>
      <c r="F51" s="63" t="s">
        <v>77</v>
      </c>
      <c r="G51" s="293">
        <v>0.885</v>
      </c>
      <c r="H51" s="294"/>
      <c r="I51" s="72"/>
      <c r="J51" s="293">
        <v>0.899</v>
      </c>
      <c r="K51" s="294"/>
      <c r="L51" s="72"/>
      <c r="M51" s="293">
        <v>0.885</v>
      </c>
      <c r="N51" s="295"/>
      <c r="P51" s="10" t="s">
        <v>87</v>
      </c>
    </row>
    <row r="52" spans="1:16" ht="11.25">
      <c r="A52" s="21"/>
      <c r="B52" s="22"/>
      <c r="C52" s="4"/>
      <c r="D52" s="4"/>
      <c r="E52" s="3"/>
      <c r="F52" s="63" t="s">
        <v>76</v>
      </c>
      <c r="G52" s="293">
        <v>0.121</v>
      </c>
      <c r="H52" s="294"/>
      <c r="I52" s="72"/>
      <c r="J52" s="293">
        <v>0.108</v>
      </c>
      <c r="K52" s="294"/>
      <c r="L52" s="72"/>
      <c r="M52" s="293">
        <v>0.117</v>
      </c>
      <c r="N52" s="295"/>
      <c r="P52" s="10" t="s">
        <v>79</v>
      </c>
    </row>
    <row r="53" spans="1:16" ht="11" customHeight="1">
      <c r="A53" s="20"/>
      <c r="B53" s="23"/>
      <c r="C53" s="4"/>
      <c r="D53" s="4"/>
      <c r="E53" s="3"/>
      <c r="F53" s="29" t="s">
        <v>10</v>
      </c>
      <c r="G53" s="296">
        <v>4</v>
      </c>
      <c r="H53" s="297"/>
      <c r="I53" s="3"/>
      <c r="J53" s="296">
        <v>4</v>
      </c>
      <c r="K53" s="297"/>
      <c r="L53" s="3"/>
      <c r="M53" s="296">
        <v>10</v>
      </c>
      <c r="N53" s="298"/>
      <c r="P53" s="10" t="s">
        <v>34</v>
      </c>
    </row>
    <row r="54" spans="1:16" ht="11.25">
      <c r="A54" s="20"/>
      <c r="B54" s="23"/>
      <c r="C54" s="4"/>
      <c r="D54" s="4"/>
      <c r="E54" s="3"/>
      <c r="F54" s="29" t="s">
        <v>8</v>
      </c>
      <c r="G54" s="296">
        <v>19</v>
      </c>
      <c r="H54" s="297"/>
      <c r="I54" s="14"/>
      <c r="J54" s="296">
        <v>24</v>
      </c>
      <c r="K54" s="297"/>
      <c r="L54" s="14"/>
      <c r="M54" s="296">
        <v>20</v>
      </c>
      <c r="N54" s="298"/>
      <c r="P54" s="10" t="s">
        <v>36</v>
      </c>
    </row>
    <row r="55" spans="1:16" ht="11.25">
      <c r="A55" s="20"/>
      <c r="B55" s="23"/>
      <c r="C55" s="4"/>
      <c r="D55" s="4"/>
      <c r="E55" s="3"/>
      <c r="F55" s="42" t="s">
        <v>11</v>
      </c>
      <c r="G55" s="296">
        <v>21.4</v>
      </c>
      <c r="H55" s="297"/>
      <c r="I55" s="3"/>
      <c r="J55" s="296">
        <v>23.4</v>
      </c>
      <c r="K55" s="297"/>
      <c r="L55" s="3"/>
      <c r="M55" s="296">
        <v>22.1</v>
      </c>
      <c r="N55" s="298"/>
      <c r="P55" s="10" t="s">
        <v>42</v>
      </c>
    </row>
    <row r="56" spans="1:19" ht="11.25">
      <c r="A56" s="20"/>
      <c r="B56" s="22"/>
      <c r="C56" s="4"/>
      <c r="D56" s="4"/>
      <c r="E56" s="3"/>
      <c r="F56" s="29" t="s">
        <v>9</v>
      </c>
      <c r="G56" s="293">
        <v>0.8</v>
      </c>
      <c r="H56" s="294"/>
      <c r="I56" s="3"/>
      <c r="J56" s="293">
        <v>0.93</v>
      </c>
      <c r="K56" s="294"/>
      <c r="L56" s="3"/>
      <c r="M56" s="293">
        <v>0.99</v>
      </c>
      <c r="N56" s="295"/>
      <c r="P56" s="10" t="s">
        <v>37</v>
      </c>
      <c r="Q56"/>
      <c r="R56"/>
      <c r="S56"/>
    </row>
    <row r="57" spans="1:19" ht="11.25">
      <c r="A57" s="20"/>
      <c r="B57" s="22"/>
      <c r="C57" s="4"/>
      <c r="D57" s="4"/>
      <c r="E57" s="27"/>
      <c r="F57" s="29" t="s">
        <v>12</v>
      </c>
      <c r="G57" s="296">
        <v>1</v>
      </c>
      <c r="H57" s="297"/>
      <c r="I57" s="28"/>
      <c r="J57" s="296">
        <v>0</v>
      </c>
      <c r="K57" s="297"/>
      <c r="L57" s="28"/>
      <c r="M57" s="296">
        <v>0</v>
      </c>
      <c r="N57" s="298"/>
      <c r="P57" s="10" t="s">
        <v>38</v>
      </c>
      <c r="Q57"/>
      <c r="R57"/>
      <c r="S57"/>
    </row>
    <row r="58" spans="1:19" ht="11.25">
      <c r="A58" s="20"/>
      <c r="B58" s="22"/>
      <c r="C58" s="4"/>
      <c r="D58" s="4"/>
      <c r="E58" s="3"/>
      <c r="F58" s="29" t="s">
        <v>19</v>
      </c>
      <c r="G58" s="293">
        <v>0.322</v>
      </c>
      <c r="H58" s="294"/>
      <c r="I58" s="28"/>
      <c r="J58" s="293">
        <v>0.281</v>
      </c>
      <c r="K58" s="294"/>
      <c r="L58" s="28"/>
      <c r="M58" s="293">
        <v>0.328</v>
      </c>
      <c r="N58" s="295"/>
      <c r="P58" s="10" t="s">
        <v>39</v>
      </c>
      <c r="Q58"/>
      <c r="R58"/>
      <c r="S58"/>
    </row>
    <row r="59" spans="1:19" ht="11.25">
      <c r="A59" s="20"/>
      <c r="B59" s="22"/>
      <c r="C59" s="4"/>
      <c r="D59" s="4"/>
      <c r="E59" s="3"/>
      <c r="F59" s="29" t="s">
        <v>0</v>
      </c>
      <c r="G59" s="293">
        <v>0</v>
      </c>
      <c r="H59" s="294"/>
      <c r="I59" s="28"/>
      <c r="J59" s="293">
        <v>-0.065</v>
      </c>
      <c r="K59" s="294"/>
      <c r="L59" s="28"/>
      <c r="M59" s="293">
        <v>-0.092</v>
      </c>
      <c r="N59" s="295"/>
      <c r="P59" s="10" t="s">
        <v>40</v>
      </c>
      <c r="Q59"/>
      <c r="R59"/>
      <c r="S59"/>
    </row>
    <row r="60" spans="1:14" ht="11.25">
      <c r="A60" s="21" t="s">
        <v>1</v>
      </c>
      <c r="B60" s="28"/>
      <c r="C60" s="28"/>
      <c r="D60" s="28"/>
      <c r="E60" s="28"/>
      <c r="F60" s="28"/>
      <c r="G60" s="28"/>
      <c r="H60" s="28"/>
      <c r="I60" s="28"/>
      <c r="J60" s="28"/>
      <c r="K60" s="28"/>
      <c r="L60" s="28"/>
      <c r="M60" s="28"/>
      <c r="N60" s="33"/>
    </row>
    <row r="61" spans="1:16" ht="11.25">
      <c r="A61" s="37" t="s">
        <v>129</v>
      </c>
      <c r="B61" s="28"/>
      <c r="C61" s="28"/>
      <c r="D61" s="28"/>
      <c r="E61" s="28"/>
      <c r="F61" s="28"/>
      <c r="G61" s="28"/>
      <c r="H61" s="28"/>
      <c r="I61" s="28"/>
      <c r="J61" s="28"/>
      <c r="K61" s="28"/>
      <c r="L61" s="28"/>
      <c r="M61" s="28"/>
      <c r="N61" s="33"/>
      <c r="P61" t="s">
        <v>35</v>
      </c>
    </row>
    <row r="62" spans="1:14" ht="11.25">
      <c r="A62" s="38"/>
      <c r="B62" s="23"/>
      <c r="C62" s="23"/>
      <c r="D62" s="23"/>
      <c r="E62" s="23"/>
      <c r="F62" s="23"/>
      <c r="G62" s="23"/>
      <c r="H62" s="23"/>
      <c r="I62" s="23"/>
      <c r="J62" s="23"/>
      <c r="K62" s="23"/>
      <c r="L62" s="23"/>
      <c r="M62" s="23"/>
      <c r="N62" s="24"/>
    </row>
    <row r="63" spans="1:14" ht="11.25">
      <c r="A63" s="38"/>
      <c r="B63" s="23"/>
      <c r="C63" s="23"/>
      <c r="D63" s="23"/>
      <c r="E63" s="23"/>
      <c r="F63" s="23"/>
      <c r="G63" s="23"/>
      <c r="H63" s="23"/>
      <c r="I63" s="23"/>
      <c r="J63" s="23"/>
      <c r="K63" s="23"/>
      <c r="L63" s="23"/>
      <c r="M63" s="23"/>
      <c r="N63" s="24"/>
    </row>
    <row r="64" spans="1:16" ht="11.25">
      <c r="A64" s="38"/>
      <c r="B64" s="23"/>
      <c r="C64" s="23"/>
      <c r="D64" s="23"/>
      <c r="E64" s="23"/>
      <c r="F64" s="23"/>
      <c r="G64" s="23"/>
      <c r="H64" s="23"/>
      <c r="I64" s="23"/>
      <c r="J64" s="23"/>
      <c r="K64" s="23"/>
      <c r="L64" s="23"/>
      <c r="M64" s="23"/>
      <c r="N64" s="24"/>
      <c r="P64" s="44" t="s">
        <v>41</v>
      </c>
    </row>
    <row r="65" spans="1:14" ht="11.25">
      <c r="A65" s="38"/>
      <c r="B65" s="23"/>
      <c r="C65" s="23"/>
      <c r="D65" s="23"/>
      <c r="E65" s="23"/>
      <c r="F65" s="23"/>
      <c r="G65" s="23"/>
      <c r="H65" s="23"/>
      <c r="I65" s="23"/>
      <c r="J65" s="23"/>
      <c r="K65" s="23"/>
      <c r="L65" s="23"/>
      <c r="M65" s="23"/>
      <c r="N65" s="24"/>
    </row>
    <row r="66" spans="1:14" ht="12.75" thickBot="1">
      <c r="A66" s="39"/>
      <c r="B66" s="40"/>
      <c r="C66" s="40"/>
      <c r="D66" s="40"/>
      <c r="E66" s="40"/>
      <c r="F66" s="40"/>
      <c r="G66" s="40"/>
      <c r="H66" s="40"/>
      <c r="I66" s="40"/>
      <c r="J66" s="40"/>
      <c r="K66" s="40"/>
      <c r="L66" s="40"/>
      <c r="M66" s="40"/>
      <c r="N66" s="41"/>
    </row>
  </sheetData>
  <mergeCells count="122">
    <mergeCell ref="G5:H5"/>
    <mergeCell ref="G6:H6"/>
    <mergeCell ref="G7:H7"/>
    <mergeCell ref="G8:H8"/>
    <mergeCell ref="G9:H9"/>
    <mergeCell ref="J9:K9"/>
    <mergeCell ref="G2:N2"/>
    <mergeCell ref="G3:H3"/>
    <mergeCell ref="J3:K3"/>
    <mergeCell ref="M3:N3"/>
    <mergeCell ref="G4:H4"/>
    <mergeCell ref="J4:K4"/>
    <mergeCell ref="M4:N4"/>
    <mergeCell ref="G13:H13"/>
    <mergeCell ref="J13:K13"/>
    <mergeCell ref="M13:N13"/>
    <mergeCell ref="G14:H14"/>
    <mergeCell ref="J14:K14"/>
    <mergeCell ref="M14:N14"/>
    <mergeCell ref="M9:N9"/>
    <mergeCell ref="G11:H11"/>
    <mergeCell ref="J11:K11"/>
    <mergeCell ref="M11:N11"/>
    <mergeCell ref="G12:H12"/>
    <mergeCell ref="J12:K12"/>
    <mergeCell ref="M12:N12"/>
    <mergeCell ref="G18:H18"/>
    <mergeCell ref="J18:K18"/>
    <mergeCell ref="M18:N18"/>
    <mergeCell ref="G19:H19"/>
    <mergeCell ref="J19:K19"/>
    <mergeCell ref="M19:N19"/>
    <mergeCell ref="G15:H15"/>
    <mergeCell ref="J15:K15"/>
    <mergeCell ref="M15:N15"/>
    <mergeCell ref="G16:H16"/>
    <mergeCell ref="J16:K16"/>
    <mergeCell ref="M16:N16"/>
    <mergeCell ref="G22:H22"/>
    <mergeCell ref="J22:K22"/>
    <mergeCell ref="M22:N22"/>
    <mergeCell ref="G24:H24"/>
    <mergeCell ref="J24:K24"/>
    <mergeCell ref="M24:N24"/>
    <mergeCell ref="G20:H20"/>
    <mergeCell ref="J20:K20"/>
    <mergeCell ref="M20:N20"/>
    <mergeCell ref="G21:H21"/>
    <mergeCell ref="J21:K21"/>
    <mergeCell ref="M21:N21"/>
    <mergeCell ref="G28:H28"/>
    <mergeCell ref="J28:K28"/>
    <mergeCell ref="M28:N28"/>
    <mergeCell ref="G29:H29"/>
    <mergeCell ref="J29:K29"/>
    <mergeCell ref="M29:N29"/>
    <mergeCell ref="G25:H25"/>
    <mergeCell ref="J25:K25"/>
    <mergeCell ref="M25:N25"/>
    <mergeCell ref="G27:H27"/>
    <mergeCell ref="J27:K27"/>
    <mergeCell ref="M27:N27"/>
    <mergeCell ref="G34:H34"/>
    <mergeCell ref="J34:K34"/>
    <mergeCell ref="M34:N34"/>
    <mergeCell ref="G35:H35"/>
    <mergeCell ref="J35:K35"/>
    <mergeCell ref="M35:N35"/>
    <mergeCell ref="G31:H31"/>
    <mergeCell ref="J31:K31"/>
    <mergeCell ref="M31:N31"/>
    <mergeCell ref="G33:H33"/>
    <mergeCell ref="J33:K33"/>
    <mergeCell ref="M33:N33"/>
    <mergeCell ref="G39:H39"/>
    <mergeCell ref="J39:K39"/>
    <mergeCell ref="M39:N39"/>
    <mergeCell ref="G40:H40"/>
    <mergeCell ref="J40:K40"/>
    <mergeCell ref="M40:N40"/>
    <mergeCell ref="G36:H36"/>
    <mergeCell ref="J36:K36"/>
    <mergeCell ref="M36:N36"/>
    <mergeCell ref="G38:H38"/>
    <mergeCell ref="J38:K38"/>
    <mergeCell ref="M38:N38"/>
    <mergeCell ref="G51:H51"/>
    <mergeCell ref="J51:K51"/>
    <mergeCell ref="M51:N51"/>
    <mergeCell ref="G52:H52"/>
    <mergeCell ref="J52:K52"/>
    <mergeCell ref="M52:N52"/>
    <mergeCell ref="G41:H41"/>
    <mergeCell ref="J41:K41"/>
    <mergeCell ref="M41:N41"/>
    <mergeCell ref="G43:H43"/>
    <mergeCell ref="J43:K43"/>
    <mergeCell ref="M43:N43"/>
    <mergeCell ref="G59:H59"/>
    <mergeCell ref="J59:K59"/>
    <mergeCell ref="M59:N59"/>
    <mergeCell ref="G44:H44"/>
    <mergeCell ref="J44:K44"/>
    <mergeCell ref="M44:N44"/>
    <mergeCell ref="G57:H57"/>
    <mergeCell ref="J57:K57"/>
    <mergeCell ref="M57:N57"/>
    <mergeCell ref="G58:H58"/>
    <mergeCell ref="J58:K58"/>
    <mergeCell ref="M58:N58"/>
    <mergeCell ref="G55:H55"/>
    <mergeCell ref="J55:K55"/>
    <mergeCell ref="M55:N55"/>
    <mergeCell ref="G56:H56"/>
    <mergeCell ref="J56:K56"/>
    <mergeCell ref="M56:N56"/>
    <mergeCell ref="G53:H53"/>
    <mergeCell ref="J53:K53"/>
    <mergeCell ref="M53:N53"/>
    <mergeCell ref="G54:H54"/>
    <mergeCell ref="J54:K54"/>
    <mergeCell ref="M54:N54"/>
  </mergeCells>
  <printOptions/>
  <pageMargins left="0.25" right="0.25" top="0.75" bottom="0.75" header="0.3" footer="0.3"/>
  <pageSetup fitToHeight="1" fitToWidth="1" horizontalDpi="1200" verticalDpi="1200" orientation="portrait" scale="94" r:id="rId3"/>
  <colBreaks count="1" manualBreakCount="1">
    <brk id="14" max="16383" man="1"/>
  </colBreaks>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V66"/>
  <sheetViews>
    <sheetView showGridLines="0" workbookViewId="0" topLeftCell="A1">
      <selection activeCell="M43" sqref="M43:N43"/>
    </sheetView>
  </sheetViews>
  <sheetFormatPr defaultColWidth="9.00390625" defaultRowHeight="11.25"/>
  <cols>
    <col min="1" max="1" width="4.625" style="1" customWidth="1"/>
    <col min="2" max="5" width="9.00390625" style="1" customWidth="1"/>
    <col min="6" max="6" width="7.125" style="1" customWidth="1"/>
    <col min="7" max="8" width="9.125" style="1" customWidth="1"/>
    <col min="9" max="9" width="1.75390625" style="1" customWidth="1"/>
    <col min="10" max="11" width="9.125" style="1" customWidth="1"/>
    <col min="12" max="12" width="1.75390625" style="1" customWidth="1"/>
    <col min="13" max="14" width="9.125" style="1" customWidth="1"/>
    <col min="15" max="15" width="3.75390625" style="10" customWidth="1"/>
    <col min="16" max="16384" width="9.00390625" style="10" customWidth="1"/>
  </cols>
  <sheetData>
    <row r="1" spans="1:14" s="12" customFormat="1" ht="11.25">
      <c r="A1" s="17" t="s">
        <v>88</v>
      </c>
      <c r="B1" s="18"/>
      <c r="C1" s="18"/>
      <c r="D1" s="18"/>
      <c r="E1" s="18"/>
      <c r="F1" s="18"/>
      <c r="G1" s="18"/>
      <c r="H1" s="18"/>
      <c r="I1" s="18"/>
      <c r="J1" s="18"/>
      <c r="K1" s="18"/>
      <c r="L1" s="18"/>
      <c r="M1" s="18"/>
      <c r="N1" s="19"/>
    </row>
    <row r="2" spans="1:16" s="12" customFormat="1" ht="11.25">
      <c r="A2" s="20" t="s">
        <v>89</v>
      </c>
      <c r="B2" s="15"/>
      <c r="C2" s="15"/>
      <c r="D2" s="15"/>
      <c r="E2" s="15"/>
      <c r="F2" s="15"/>
      <c r="G2" s="328" t="s">
        <v>26</v>
      </c>
      <c r="H2" s="328"/>
      <c r="I2" s="328"/>
      <c r="J2" s="328"/>
      <c r="K2" s="328"/>
      <c r="L2" s="328"/>
      <c r="M2" s="328"/>
      <c r="N2" s="329"/>
      <c r="P2" s="43" t="s">
        <v>27</v>
      </c>
    </row>
    <row r="3" spans="1:14" ht="11.25">
      <c r="A3" s="45"/>
      <c r="B3" s="2"/>
      <c r="C3" s="2"/>
      <c r="D3" s="2"/>
      <c r="E3" s="2"/>
      <c r="F3" s="16" t="s">
        <v>14</v>
      </c>
      <c r="G3" s="330">
        <v>19</v>
      </c>
      <c r="H3" s="327"/>
      <c r="I3" s="2"/>
      <c r="J3" s="330">
        <v>18</v>
      </c>
      <c r="K3" s="327"/>
      <c r="L3" s="2"/>
      <c r="M3" s="330">
        <v>17</v>
      </c>
      <c r="N3" s="331"/>
    </row>
    <row r="4" spans="1:14" ht="11.25">
      <c r="A4" s="20"/>
      <c r="B4" s="2"/>
      <c r="C4" s="2"/>
      <c r="D4" s="2"/>
      <c r="E4" s="2"/>
      <c r="F4" s="16" t="s">
        <v>15</v>
      </c>
      <c r="G4" s="330" t="s">
        <v>80</v>
      </c>
      <c r="H4" s="327"/>
      <c r="I4" s="2"/>
      <c r="J4" s="330" t="s">
        <v>81</v>
      </c>
      <c r="K4" s="327"/>
      <c r="L4" s="2"/>
      <c r="M4" s="330" t="s">
        <v>82</v>
      </c>
      <c r="N4" s="331"/>
    </row>
    <row r="5" spans="1:14" ht="11.25">
      <c r="A5" s="20"/>
      <c r="B5" s="2"/>
      <c r="C5" s="2"/>
      <c r="D5" s="2"/>
      <c r="E5" s="2"/>
      <c r="F5" s="16" t="s">
        <v>16</v>
      </c>
      <c r="G5" s="321" t="s">
        <v>95</v>
      </c>
      <c r="H5" s="322"/>
      <c r="I5" s="2"/>
      <c r="J5" s="28"/>
      <c r="K5" s="28"/>
      <c r="L5" s="28"/>
      <c r="M5" s="28"/>
      <c r="N5" s="33"/>
    </row>
    <row r="6" spans="1:14" ht="11.25">
      <c r="A6" s="20"/>
      <c r="B6" s="2"/>
      <c r="C6" s="2"/>
      <c r="D6" s="2"/>
      <c r="E6" s="2"/>
      <c r="F6" s="16" t="s">
        <v>17</v>
      </c>
      <c r="G6" s="323" t="s">
        <v>131</v>
      </c>
      <c r="H6" s="323"/>
      <c r="I6" s="2"/>
      <c r="J6" s="28"/>
      <c r="K6" s="28"/>
      <c r="L6" s="28"/>
      <c r="M6" s="28"/>
      <c r="N6" s="33"/>
    </row>
    <row r="7" spans="1:14" ht="11.25">
      <c r="A7" s="20"/>
      <c r="B7" s="2"/>
      <c r="C7" s="2"/>
      <c r="D7" s="2"/>
      <c r="E7" s="2"/>
      <c r="F7" s="16" t="s">
        <v>33</v>
      </c>
      <c r="G7" s="324" t="s">
        <v>101</v>
      </c>
      <c r="H7" s="325"/>
      <c r="I7" s="2"/>
      <c r="J7" s="28"/>
      <c r="K7" s="28"/>
      <c r="L7" s="28"/>
      <c r="M7" s="28"/>
      <c r="N7" s="33"/>
    </row>
    <row r="8" spans="1:14" ht="11.25">
      <c r="A8" s="20"/>
      <c r="B8" s="2"/>
      <c r="C8" s="2"/>
      <c r="D8" s="2"/>
      <c r="E8" s="2"/>
      <c r="F8" s="16" t="s">
        <v>18</v>
      </c>
      <c r="G8" s="326">
        <v>43939</v>
      </c>
      <c r="H8" s="327"/>
      <c r="I8" s="2"/>
      <c r="J8" s="28"/>
      <c r="K8" s="28"/>
      <c r="L8" s="28"/>
      <c r="M8" s="28"/>
      <c r="N8" s="33"/>
    </row>
    <row r="9" spans="1:14" ht="12.75">
      <c r="A9" s="21" t="s">
        <v>2</v>
      </c>
      <c r="B9" s="22"/>
      <c r="C9" s="4"/>
      <c r="D9" s="4"/>
      <c r="E9" s="3"/>
      <c r="F9" s="3"/>
      <c r="G9" s="319"/>
      <c r="H9" s="319"/>
      <c r="I9" s="3"/>
      <c r="J9" s="319"/>
      <c r="K9" s="319"/>
      <c r="L9" s="3"/>
      <c r="M9" s="319"/>
      <c r="N9" s="320"/>
    </row>
    <row r="10" spans="1:15" ht="12.75">
      <c r="A10" s="20"/>
      <c r="B10" s="22" t="s">
        <v>56</v>
      </c>
      <c r="C10" s="4"/>
      <c r="D10" s="4"/>
      <c r="E10" s="3"/>
      <c r="F10" s="29"/>
      <c r="G10" s="58"/>
      <c r="H10" s="58"/>
      <c r="I10" s="5"/>
      <c r="J10" s="58"/>
      <c r="K10" s="58"/>
      <c r="L10" s="5"/>
      <c r="M10" s="58"/>
      <c r="N10" s="59"/>
      <c r="O10" s="11"/>
    </row>
    <row r="11" spans="1:16" ht="11.25">
      <c r="A11" s="20"/>
      <c r="B11" s="22"/>
      <c r="C11" s="6"/>
      <c r="D11" s="6"/>
      <c r="E11" s="7"/>
      <c r="F11" s="30" t="s">
        <v>7</v>
      </c>
      <c r="G11" s="313"/>
      <c r="H11" s="314"/>
      <c r="I11" s="5"/>
      <c r="J11" s="313"/>
      <c r="K11" s="314"/>
      <c r="L11" s="5"/>
      <c r="M11" s="313"/>
      <c r="N11" s="315"/>
      <c r="P11" s="10" t="s">
        <v>28</v>
      </c>
    </row>
    <row r="12" spans="1:16" ht="12.75">
      <c r="A12" s="20"/>
      <c r="B12" s="22"/>
      <c r="C12" s="4"/>
      <c r="D12" s="4"/>
      <c r="E12" s="3"/>
      <c r="F12" s="29" t="s">
        <v>5</v>
      </c>
      <c r="G12" s="316"/>
      <c r="H12" s="317"/>
      <c r="I12" s="5"/>
      <c r="J12" s="316"/>
      <c r="K12" s="317"/>
      <c r="L12" s="5"/>
      <c r="M12" s="316"/>
      <c r="N12" s="318"/>
      <c r="O12" s="11"/>
      <c r="P12" s="10" t="s">
        <v>29</v>
      </c>
    </row>
    <row r="13" spans="1:16" ht="12.75">
      <c r="A13" s="20"/>
      <c r="B13" s="22"/>
      <c r="C13" s="4"/>
      <c r="D13" s="4"/>
      <c r="E13" s="3"/>
      <c r="F13" s="29" t="s">
        <v>53</v>
      </c>
      <c r="G13" s="313"/>
      <c r="H13" s="314"/>
      <c r="I13" s="5"/>
      <c r="J13" s="313"/>
      <c r="K13" s="314"/>
      <c r="L13" s="5"/>
      <c r="M13" s="313"/>
      <c r="N13" s="315"/>
      <c r="O13" s="11"/>
      <c r="P13" s="10" t="s">
        <v>71</v>
      </c>
    </row>
    <row r="14" spans="1:16" ht="12.75">
      <c r="A14" s="20"/>
      <c r="B14" s="22"/>
      <c r="C14" s="4"/>
      <c r="D14" s="4"/>
      <c r="E14" s="3"/>
      <c r="F14" s="29" t="s">
        <v>54</v>
      </c>
      <c r="G14" s="313"/>
      <c r="H14" s="314"/>
      <c r="I14" s="5"/>
      <c r="J14" s="313"/>
      <c r="K14" s="314"/>
      <c r="L14" s="5"/>
      <c r="M14" s="313"/>
      <c r="N14" s="315"/>
      <c r="O14" s="11"/>
      <c r="P14" s="10" t="s">
        <v>70</v>
      </c>
    </row>
    <row r="15" spans="1:16" ht="12.75">
      <c r="A15" s="20"/>
      <c r="B15" s="22"/>
      <c r="C15" s="4"/>
      <c r="D15" s="4"/>
      <c r="E15" s="3"/>
      <c r="F15" s="29" t="s">
        <v>55</v>
      </c>
      <c r="G15" s="313"/>
      <c r="H15" s="314"/>
      <c r="I15" s="5"/>
      <c r="J15" s="313"/>
      <c r="K15" s="314"/>
      <c r="L15" s="5"/>
      <c r="M15" s="313"/>
      <c r="N15" s="315"/>
      <c r="O15" s="11"/>
      <c r="P15" s="10" t="s">
        <v>69</v>
      </c>
    </row>
    <row r="16" spans="1:16" ht="12.75">
      <c r="A16" s="20"/>
      <c r="B16" s="22"/>
      <c r="C16" s="4"/>
      <c r="D16" s="4"/>
      <c r="E16" s="3"/>
      <c r="F16" s="29" t="s">
        <v>78</v>
      </c>
      <c r="G16" s="313"/>
      <c r="H16" s="314"/>
      <c r="I16" s="5"/>
      <c r="J16" s="313"/>
      <c r="K16" s="314"/>
      <c r="L16" s="5"/>
      <c r="M16" s="313"/>
      <c r="N16" s="315"/>
      <c r="O16" s="11"/>
      <c r="P16" s="10" t="s">
        <v>86</v>
      </c>
    </row>
    <row r="17" spans="1:15" ht="12.75">
      <c r="A17" s="20"/>
      <c r="B17" s="22" t="s">
        <v>57</v>
      </c>
      <c r="C17" s="4"/>
      <c r="D17" s="4"/>
      <c r="E17" s="3"/>
      <c r="F17" s="29"/>
      <c r="G17" s="58"/>
      <c r="H17" s="58"/>
      <c r="I17" s="5"/>
      <c r="J17" s="58"/>
      <c r="K17" s="58"/>
      <c r="L17" s="5"/>
      <c r="M17" s="58"/>
      <c r="N17" s="59"/>
      <c r="O17" s="11"/>
    </row>
    <row r="18" spans="1:16" ht="11.25">
      <c r="A18" s="20"/>
      <c r="B18" s="22"/>
      <c r="C18" s="6"/>
      <c r="D18" s="6"/>
      <c r="E18" s="7"/>
      <c r="F18" s="30" t="s">
        <v>7</v>
      </c>
      <c r="G18" s="313">
        <v>322</v>
      </c>
      <c r="H18" s="314"/>
      <c r="I18" s="5"/>
      <c r="J18" s="313">
        <v>333</v>
      </c>
      <c r="K18" s="314"/>
      <c r="L18" s="5"/>
      <c r="M18" s="313">
        <v>251</v>
      </c>
      <c r="N18" s="315"/>
      <c r="P18" s="10" t="s">
        <v>28</v>
      </c>
    </row>
    <row r="19" spans="1:16" ht="12.75">
      <c r="A19" s="20"/>
      <c r="B19" s="22"/>
      <c r="C19" s="4"/>
      <c r="D19" s="4"/>
      <c r="E19" s="3"/>
      <c r="F19" s="29" t="s">
        <v>5</v>
      </c>
      <c r="G19" s="316">
        <v>0.133</v>
      </c>
      <c r="H19" s="317"/>
      <c r="I19" s="5"/>
      <c r="J19" s="316">
        <v>-0.094</v>
      </c>
      <c r="K19" s="317"/>
      <c r="L19" s="5"/>
      <c r="M19" s="316">
        <v>0.096</v>
      </c>
      <c r="N19" s="318"/>
      <c r="O19" s="11"/>
      <c r="P19" s="10" t="s">
        <v>29</v>
      </c>
    </row>
    <row r="20" spans="1:16" ht="12.75">
      <c r="A20" s="20"/>
      <c r="B20" s="22"/>
      <c r="C20" s="4"/>
      <c r="D20" s="4"/>
      <c r="E20" s="3"/>
      <c r="F20" s="29" t="s">
        <v>58</v>
      </c>
      <c r="G20" s="313">
        <v>1</v>
      </c>
      <c r="H20" s="314"/>
      <c r="I20" s="5"/>
      <c r="J20" s="313">
        <v>1</v>
      </c>
      <c r="K20" s="314"/>
      <c r="L20" s="5"/>
      <c r="M20" s="313">
        <v>1</v>
      </c>
      <c r="N20" s="315"/>
      <c r="O20" s="11"/>
      <c r="P20" s="10" t="s">
        <v>71</v>
      </c>
    </row>
    <row r="21" spans="1:16" ht="12.75">
      <c r="A21" s="20"/>
      <c r="B21" s="22"/>
      <c r="C21" s="4"/>
      <c r="D21" s="4"/>
      <c r="E21" s="3"/>
      <c r="F21" s="29" t="s">
        <v>59</v>
      </c>
      <c r="G21" s="313">
        <v>13</v>
      </c>
      <c r="H21" s="314"/>
      <c r="I21" s="5"/>
      <c r="J21" s="313">
        <v>12</v>
      </c>
      <c r="K21" s="314"/>
      <c r="L21" s="5"/>
      <c r="M21" s="313">
        <v>0</v>
      </c>
      <c r="N21" s="315"/>
      <c r="O21" s="11"/>
      <c r="P21" s="10" t="s">
        <v>83</v>
      </c>
    </row>
    <row r="22" spans="1:16" ht="12.75">
      <c r="A22" s="20"/>
      <c r="B22" s="22"/>
      <c r="C22" s="4"/>
      <c r="D22" s="4"/>
      <c r="E22" s="3"/>
      <c r="F22" s="29" t="s">
        <v>78</v>
      </c>
      <c r="G22" s="313">
        <v>2</v>
      </c>
      <c r="H22" s="314"/>
      <c r="I22" s="5"/>
      <c r="J22" s="313">
        <v>5</v>
      </c>
      <c r="K22" s="314"/>
      <c r="L22" s="5"/>
      <c r="M22" s="313">
        <v>1</v>
      </c>
      <c r="N22" s="315"/>
      <c r="O22" s="11"/>
      <c r="P22" s="10" t="s">
        <v>86</v>
      </c>
    </row>
    <row r="23" spans="1:14" ht="11.25">
      <c r="A23" s="20"/>
      <c r="B23" s="4" t="s">
        <v>6</v>
      </c>
      <c r="C23" s="4"/>
      <c r="D23" s="4"/>
      <c r="E23" s="3"/>
      <c r="F23" s="3"/>
      <c r="G23" s="23"/>
      <c r="H23" s="23"/>
      <c r="I23" s="5"/>
      <c r="J23" s="23"/>
      <c r="K23" s="23"/>
      <c r="L23" s="5"/>
      <c r="M23" s="23"/>
      <c r="N23" s="24"/>
    </row>
    <row r="24" spans="1:16" ht="11.25">
      <c r="A24" s="20"/>
      <c r="B24" s="22"/>
      <c r="C24" s="4"/>
      <c r="D24" s="4"/>
      <c r="E24" s="3"/>
      <c r="F24" s="29" t="s">
        <v>20</v>
      </c>
      <c r="G24" s="293">
        <v>0.804</v>
      </c>
      <c r="H24" s="294"/>
      <c r="I24" s="3"/>
      <c r="J24" s="293">
        <v>0.796</v>
      </c>
      <c r="K24" s="294"/>
      <c r="L24" s="3"/>
      <c r="M24" s="293">
        <v>0.072</v>
      </c>
      <c r="N24" s="295"/>
      <c r="P24" s="10" t="s">
        <v>30</v>
      </c>
    </row>
    <row r="25" spans="1:16" ht="11.25">
      <c r="A25" s="20"/>
      <c r="B25" s="22"/>
      <c r="C25" s="4"/>
      <c r="D25" s="4"/>
      <c r="E25" s="3"/>
      <c r="F25" s="29" t="s">
        <v>21</v>
      </c>
      <c r="G25" s="293">
        <v>0.196</v>
      </c>
      <c r="H25" s="294"/>
      <c r="I25" s="3"/>
      <c r="J25" s="293">
        <v>0.204</v>
      </c>
      <c r="K25" s="294"/>
      <c r="L25" s="3"/>
      <c r="M25" s="293">
        <v>0.928</v>
      </c>
      <c r="N25" s="295"/>
      <c r="P25" s="10" t="s">
        <v>31</v>
      </c>
    </row>
    <row r="26" spans="1:14" ht="11.25">
      <c r="A26" s="62" t="s">
        <v>60</v>
      </c>
      <c r="B26" s="22"/>
      <c r="C26" s="4"/>
      <c r="D26" s="4"/>
      <c r="E26" s="3"/>
      <c r="F26" s="29"/>
      <c r="G26" s="60"/>
      <c r="H26" s="60"/>
      <c r="I26" s="5"/>
      <c r="J26" s="60"/>
      <c r="K26" s="60"/>
      <c r="L26" s="5"/>
      <c r="M26" s="60"/>
      <c r="N26" s="61"/>
    </row>
    <row r="27" spans="1:16" ht="11.25">
      <c r="A27" s="20"/>
      <c r="B27" s="22"/>
      <c r="C27" s="4"/>
      <c r="D27" s="4"/>
      <c r="E27" s="3"/>
      <c r="F27" s="29" t="s">
        <v>61</v>
      </c>
      <c r="G27" s="313" t="s">
        <v>132</v>
      </c>
      <c r="H27" s="314"/>
      <c r="I27" s="5"/>
      <c r="J27" s="313" t="s">
        <v>132</v>
      </c>
      <c r="K27" s="314"/>
      <c r="L27" s="5"/>
      <c r="M27" s="313" t="s">
        <v>132</v>
      </c>
      <c r="N27" s="315"/>
      <c r="P27" s="10" t="s">
        <v>91</v>
      </c>
    </row>
    <row r="28" spans="1:16" ht="11.25">
      <c r="A28" s="20"/>
      <c r="B28" s="22"/>
      <c r="C28" s="4"/>
      <c r="D28" s="4"/>
      <c r="E28" s="3"/>
      <c r="F28" s="29" t="s">
        <v>62</v>
      </c>
      <c r="G28" s="313" t="s">
        <v>132</v>
      </c>
      <c r="H28" s="314"/>
      <c r="I28" s="5"/>
      <c r="J28" s="313" t="s">
        <v>132</v>
      </c>
      <c r="K28" s="314"/>
      <c r="L28" s="5"/>
      <c r="M28" s="313" t="s">
        <v>132</v>
      </c>
      <c r="N28" s="315"/>
      <c r="P28" s="10" t="s">
        <v>91</v>
      </c>
    </row>
    <row r="29" spans="1:16" ht="11.25">
      <c r="A29" s="20"/>
      <c r="B29" s="22"/>
      <c r="C29" s="4"/>
      <c r="D29" s="4"/>
      <c r="E29" s="3"/>
      <c r="F29" s="29" t="s">
        <v>63</v>
      </c>
      <c r="G29" s="313" t="s">
        <v>132</v>
      </c>
      <c r="H29" s="314"/>
      <c r="I29" s="5"/>
      <c r="J29" s="313" t="s">
        <v>132</v>
      </c>
      <c r="K29" s="314"/>
      <c r="L29" s="5"/>
      <c r="M29" s="313" t="s">
        <v>132</v>
      </c>
      <c r="N29" s="315"/>
      <c r="P29" s="10" t="s">
        <v>90</v>
      </c>
    </row>
    <row r="30" spans="1:14" ht="11.25">
      <c r="A30" s="20"/>
      <c r="B30" s="22"/>
      <c r="C30" s="4"/>
      <c r="D30" s="4"/>
      <c r="E30" s="3"/>
      <c r="F30" s="29"/>
      <c r="G30" s="73"/>
      <c r="H30" s="74"/>
      <c r="I30" s="5"/>
      <c r="J30" s="73"/>
      <c r="K30" s="74"/>
      <c r="L30" s="5"/>
      <c r="M30" s="73"/>
      <c r="N30" s="75"/>
    </row>
    <row r="31" spans="1:18" ht="11.25">
      <c r="A31" s="20"/>
      <c r="B31" s="4"/>
      <c r="C31" s="4"/>
      <c r="D31" s="4"/>
      <c r="E31" s="3"/>
      <c r="F31" s="63" t="s">
        <v>64</v>
      </c>
      <c r="G31" s="299">
        <f>(SUM(G27:G29))/(G11+G18)</f>
        <v>0</v>
      </c>
      <c r="H31" s="300"/>
      <c r="I31" s="22"/>
      <c r="J31" s="299">
        <f>SUM(J27:K29)/(J11+J18)</f>
        <v>0</v>
      </c>
      <c r="K31" s="300"/>
      <c r="L31" s="22"/>
      <c r="M31" s="299">
        <f>SUM(M27:N29)/(M11+M18)</f>
        <v>0</v>
      </c>
      <c r="N31" s="301"/>
      <c r="O31"/>
      <c r="P31" t="s">
        <v>32</v>
      </c>
      <c r="Q31"/>
      <c r="R31"/>
    </row>
    <row r="32" spans="1:14" ht="11.25">
      <c r="A32" s="21" t="s">
        <v>3</v>
      </c>
      <c r="B32" s="22"/>
      <c r="C32" s="4"/>
      <c r="D32" s="4"/>
      <c r="E32" s="3"/>
      <c r="F32" s="3"/>
      <c r="G32" s="8"/>
      <c r="H32" s="8"/>
      <c r="I32" s="3"/>
      <c r="J32" s="8"/>
      <c r="K32" s="8"/>
      <c r="L32" s="3"/>
      <c r="M32" s="8"/>
      <c r="N32" s="25"/>
    </row>
    <row r="33" spans="1:22" ht="11.25">
      <c r="A33" s="20"/>
      <c r="B33" s="22"/>
      <c r="C33" s="4"/>
      <c r="D33" s="48"/>
      <c r="E33" s="49"/>
      <c r="F33" s="50" t="s">
        <v>43</v>
      </c>
      <c r="G33" s="302">
        <f>1.1+0.8</f>
        <v>1.9000000000000001</v>
      </c>
      <c r="H33" s="303"/>
      <c r="I33" s="56"/>
      <c r="J33" s="302">
        <f>1.2+0.4</f>
        <v>1.6</v>
      </c>
      <c r="K33" s="303"/>
      <c r="L33" s="56"/>
      <c r="M33" s="302">
        <f>0.6+0.8</f>
        <v>1.4</v>
      </c>
      <c r="N33" s="304"/>
      <c r="O33"/>
      <c r="P33" s="46" t="s">
        <v>47</v>
      </c>
      <c r="Q33" s="47"/>
      <c r="R33" s="47"/>
      <c r="S33" s="46"/>
      <c r="T33" s="46"/>
      <c r="U33" s="46"/>
      <c r="V33" s="46"/>
    </row>
    <row r="34" spans="1:22" ht="11.25">
      <c r="A34" s="20"/>
      <c r="B34" s="22"/>
      <c r="C34" s="4"/>
      <c r="D34" s="48"/>
      <c r="E34" s="49"/>
      <c r="F34" s="50" t="s">
        <v>44</v>
      </c>
      <c r="G34" s="302">
        <v>0</v>
      </c>
      <c r="H34" s="303"/>
      <c r="I34" s="56"/>
      <c r="J34" s="302">
        <v>0</v>
      </c>
      <c r="K34" s="303"/>
      <c r="L34" s="56"/>
      <c r="M34" s="302">
        <v>0</v>
      </c>
      <c r="N34" s="304"/>
      <c r="O34"/>
      <c r="P34" s="46" t="s">
        <v>48</v>
      </c>
      <c r="Q34" s="47"/>
      <c r="R34" s="47"/>
      <c r="S34" s="46"/>
      <c r="T34" s="46"/>
      <c r="U34" s="46"/>
      <c r="V34" s="46"/>
    </row>
    <row r="35" spans="1:22" ht="11.25">
      <c r="A35" s="20"/>
      <c r="B35" s="22"/>
      <c r="C35" s="4"/>
      <c r="D35" s="48"/>
      <c r="E35" s="49"/>
      <c r="F35" s="50" t="s">
        <v>45</v>
      </c>
      <c r="G35" s="307">
        <f>1/45</f>
        <v>0.022222222222222223</v>
      </c>
      <c r="H35" s="308"/>
      <c r="I35" s="56"/>
      <c r="J35" s="307">
        <f>1/45</f>
        <v>0.022222222222222223</v>
      </c>
      <c r="K35" s="308"/>
      <c r="L35" s="56"/>
      <c r="M35" s="307">
        <v>0</v>
      </c>
      <c r="N35" s="309"/>
      <c r="O35"/>
      <c r="P35" s="46" t="s">
        <v>50</v>
      </c>
      <c r="Q35" s="47"/>
      <c r="R35" s="47"/>
      <c r="S35" s="46"/>
      <c r="T35" s="46"/>
      <c r="U35" s="46"/>
      <c r="V35" s="46"/>
    </row>
    <row r="36" spans="1:22" ht="11.25">
      <c r="A36" s="20"/>
      <c r="B36" s="22"/>
      <c r="C36" s="4"/>
      <c r="D36" s="48"/>
      <c r="E36" s="49"/>
      <c r="F36" s="50" t="s">
        <v>46</v>
      </c>
      <c r="G36" s="305">
        <v>0</v>
      </c>
      <c r="H36" s="305"/>
      <c r="I36" s="56"/>
      <c r="J36" s="305">
        <v>0</v>
      </c>
      <c r="K36" s="305"/>
      <c r="L36" s="56"/>
      <c r="M36" s="305">
        <v>0</v>
      </c>
      <c r="N36" s="306"/>
      <c r="O36"/>
      <c r="P36" s="46" t="s">
        <v>49</v>
      </c>
      <c r="Q36" s="47"/>
      <c r="R36" s="47"/>
      <c r="S36" s="46"/>
      <c r="T36" s="46"/>
      <c r="U36" s="46"/>
      <c r="V36" s="46"/>
    </row>
    <row r="37" spans="1:18" s="69" customFormat="1" ht="11.25">
      <c r="A37" s="64"/>
      <c r="B37" s="65"/>
      <c r="C37" s="66"/>
      <c r="D37" s="66"/>
      <c r="E37" s="5"/>
      <c r="F37" s="67"/>
      <c r="G37" s="70"/>
      <c r="H37" s="70"/>
      <c r="I37" s="68"/>
      <c r="J37" s="70"/>
      <c r="K37" s="70"/>
      <c r="L37" s="68"/>
      <c r="M37" s="70"/>
      <c r="N37" s="71"/>
      <c r="O37" s="12"/>
      <c r="Q37" s="12"/>
      <c r="R37" s="12"/>
    </row>
    <row r="38" spans="1:22" ht="11.25">
      <c r="A38" s="20"/>
      <c r="B38" s="22"/>
      <c r="C38" s="4"/>
      <c r="D38" s="48"/>
      <c r="E38" s="49"/>
      <c r="F38" s="50" t="s">
        <v>66</v>
      </c>
      <c r="G38" s="305">
        <f>161+114</f>
        <v>275</v>
      </c>
      <c r="H38" s="305"/>
      <c r="I38" s="56"/>
      <c r="J38" s="305">
        <f>177+49</f>
        <v>226</v>
      </c>
      <c r="K38" s="305"/>
      <c r="L38" s="56"/>
      <c r="M38" s="305">
        <f>71+93</f>
        <v>164</v>
      </c>
      <c r="N38" s="306"/>
      <c r="O38"/>
      <c r="P38" s="46" t="s">
        <v>72</v>
      </c>
      <c r="Q38" s="47"/>
      <c r="R38" s="47"/>
      <c r="S38" s="46"/>
      <c r="T38" s="46"/>
      <c r="U38" s="46"/>
      <c r="V38" s="46"/>
    </row>
    <row r="39" spans="1:22" ht="11.25">
      <c r="A39" s="20"/>
      <c r="B39" s="22"/>
      <c r="C39" s="4"/>
      <c r="D39" s="48"/>
      <c r="E39" s="49"/>
      <c r="F39" s="50" t="s">
        <v>65</v>
      </c>
      <c r="G39" s="299">
        <v>0</v>
      </c>
      <c r="H39" s="300"/>
      <c r="I39" s="56"/>
      <c r="J39" s="299">
        <v>9</v>
      </c>
      <c r="K39" s="300"/>
      <c r="L39" s="56"/>
      <c r="M39" s="299">
        <v>0</v>
      </c>
      <c r="N39" s="301"/>
      <c r="O39"/>
      <c r="P39" s="46" t="s">
        <v>73</v>
      </c>
      <c r="Q39" s="47"/>
      <c r="R39" s="47"/>
      <c r="S39" s="46"/>
      <c r="T39" s="46"/>
      <c r="U39" s="46"/>
      <c r="V39" s="46"/>
    </row>
    <row r="40" spans="1:22" ht="11.25">
      <c r="A40" s="20"/>
      <c r="B40" s="22"/>
      <c r="C40" s="4"/>
      <c r="D40" s="48"/>
      <c r="E40" s="49"/>
      <c r="F40" s="50" t="s">
        <v>67</v>
      </c>
      <c r="G40" s="302">
        <v>7</v>
      </c>
      <c r="H40" s="303"/>
      <c r="I40" s="56"/>
      <c r="J40" s="302">
        <v>2</v>
      </c>
      <c r="K40" s="303"/>
      <c r="L40" s="56"/>
      <c r="M40" s="302">
        <v>0</v>
      </c>
      <c r="N40" s="304"/>
      <c r="O40"/>
      <c r="P40" s="46" t="s">
        <v>75</v>
      </c>
      <c r="Q40" s="47"/>
      <c r="R40" s="47"/>
      <c r="S40" s="46"/>
      <c r="T40" s="46"/>
      <c r="U40" s="46"/>
      <c r="V40" s="46"/>
    </row>
    <row r="41" spans="1:22" ht="11.25">
      <c r="A41" s="20"/>
      <c r="B41" s="22"/>
      <c r="C41" s="4"/>
      <c r="D41" s="48"/>
      <c r="E41" s="49"/>
      <c r="F41" s="50" t="s">
        <v>68</v>
      </c>
      <c r="G41" s="302">
        <v>0</v>
      </c>
      <c r="H41" s="303"/>
      <c r="I41" s="56"/>
      <c r="J41" s="302">
        <v>0</v>
      </c>
      <c r="K41" s="303"/>
      <c r="L41" s="56"/>
      <c r="M41" s="302">
        <v>0</v>
      </c>
      <c r="N41" s="304"/>
      <c r="O41"/>
      <c r="P41" s="46" t="s">
        <v>74</v>
      </c>
      <c r="Q41" s="47"/>
      <c r="R41" s="47"/>
      <c r="S41" s="46"/>
      <c r="T41" s="46"/>
      <c r="U41" s="46"/>
      <c r="V41" s="46"/>
    </row>
    <row r="42" spans="1:18" ht="11.25">
      <c r="A42" s="20"/>
      <c r="B42" s="4"/>
      <c r="C42" s="4"/>
      <c r="D42" s="4"/>
      <c r="E42" s="3"/>
      <c r="F42" s="3"/>
      <c r="G42" s="9"/>
      <c r="H42" s="9"/>
      <c r="I42" s="22"/>
      <c r="J42" s="9"/>
      <c r="K42" s="9"/>
      <c r="L42" s="22"/>
      <c r="M42" s="9"/>
      <c r="N42" s="26"/>
      <c r="O42"/>
      <c r="P42"/>
      <c r="Q42"/>
      <c r="R42"/>
    </row>
    <row r="43" spans="1:18" ht="11.25">
      <c r="A43" s="20"/>
      <c r="B43" s="22"/>
      <c r="C43" s="4"/>
      <c r="D43" s="4"/>
      <c r="E43" s="3"/>
      <c r="F43" s="29" t="s">
        <v>22</v>
      </c>
      <c r="G43" s="302">
        <f>+(G11+G18)/(G33+G34)</f>
        <v>169.4736842105263</v>
      </c>
      <c r="H43" s="303"/>
      <c r="I43" s="22"/>
      <c r="J43" s="302">
        <f>+(J11+J18)/(J33+J34)</f>
        <v>208.125</v>
      </c>
      <c r="K43" s="303"/>
      <c r="L43" s="22"/>
      <c r="M43" s="302">
        <f>+(M11+M18)/(M33+M34)</f>
        <v>179.2857142857143</v>
      </c>
      <c r="N43" s="303"/>
      <c r="O43"/>
      <c r="P43" t="s">
        <v>32</v>
      </c>
      <c r="Q43"/>
      <c r="R43"/>
    </row>
    <row r="44" spans="1:18" ht="11.25">
      <c r="A44" s="20"/>
      <c r="B44" s="22"/>
      <c r="C44" s="4"/>
      <c r="D44" s="4"/>
      <c r="E44" s="3"/>
      <c r="F44" s="29" t="s">
        <v>216</v>
      </c>
      <c r="G44" s="332">
        <f>(G11+G18)/SUM(G33:H36)</f>
        <v>167.514450867052</v>
      </c>
      <c r="H44" s="332"/>
      <c r="I44" s="22"/>
      <c r="J44" s="332">
        <f>(J11+J18)/SUM(J33:K36)</f>
        <v>205.27397260273972</v>
      </c>
      <c r="K44" s="332"/>
      <c r="L44" s="22"/>
      <c r="M44" s="332">
        <f>(M11+M18)/SUM(M33:N36)</f>
        <v>179.2857142857143</v>
      </c>
      <c r="N44" s="332"/>
      <c r="O44"/>
      <c r="P44"/>
      <c r="Q44"/>
      <c r="R44"/>
    </row>
    <row r="45" spans="1:17" ht="11.25">
      <c r="A45" s="20"/>
      <c r="B45" s="4"/>
      <c r="C45" s="4"/>
      <c r="D45" s="4"/>
      <c r="E45" s="3"/>
      <c r="F45" s="3"/>
      <c r="G45" s="34" t="s">
        <v>24</v>
      </c>
      <c r="H45" s="34" t="s">
        <v>23</v>
      </c>
      <c r="I45" s="28"/>
      <c r="J45" s="34" t="s">
        <v>24</v>
      </c>
      <c r="K45" s="34" t="s">
        <v>23</v>
      </c>
      <c r="L45" s="28"/>
      <c r="M45" s="34" t="s">
        <v>24</v>
      </c>
      <c r="N45" s="35" t="s">
        <v>23</v>
      </c>
      <c r="O45" s="14"/>
      <c r="P45" s="13"/>
      <c r="Q45" s="31"/>
    </row>
    <row r="46" spans="1:22" ht="11.25">
      <c r="A46" s="20"/>
      <c r="B46" s="4"/>
      <c r="C46" s="4"/>
      <c r="D46" s="52"/>
      <c r="E46" s="53"/>
      <c r="F46" s="54" t="s">
        <v>25</v>
      </c>
      <c r="G46" s="76" t="s">
        <v>132</v>
      </c>
      <c r="H46" s="32" t="e">
        <f>G46/(G46+G47+G48+G49)</f>
        <v>#VALUE!</v>
      </c>
      <c r="I46" s="28"/>
      <c r="J46" s="76" t="s">
        <v>132</v>
      </c>
      <c r="K46" s="32" t="e">
        <f>J46/(J46+J47+J48+J49)</f>
        <v>#VALUE!</v>
      </c>
      <c r="L46" s="28"/>
      <c r="M46" s="76" t="s">
        <v>132</v>
      </c>
      <c r="N46" s="36" t="e">
        <f>M46/(M46+M47+M48+M49)</f>
        <v>#VALUE!</v>
      </c>
      <c r="O46" s="14"/>
      <c r="P46" s="55" t="s">
        <v>84</v>
      </c>
      <c r="Q46" s="51"/>
      <c r="R46" s="55"/>
      <c r="S46" s="55"/>
      <c r="T46" s="55"/>
      <c r="U46" s="55"/>
      <c r="V46" s="55"/>
    </row>
    <row r="47" spans="1:22" ht="11.25">
      <c r="A47" s="20"/>
      <c r="B47" s="4"/>
      <c r="C47" s="4"/>
      <c r="D47" s="52"/>
      <c r="E47" s="53"/>
      <c r="F47" s="54" t="s">
        <v>13</v>
      </c>
      <c r="G47" s="76" t="s">
        <v>132</v>
      </c>
      <c r="H47" s="32" t="e">
        <f>G47/(G46+G47+G48+G49)</f>
        <v>#VALUE!</v>
      </c>
      <c r="I47" s="28"/>
      <c r="J47" s="76" t="s">
        <v>132</v>
      </c>
      <c r="K47" s="32" t="e">
        <f>J47/(J46+J47+J48+J49)</f>
        <v>#VALUE!</v>
      </c>
      <c r="L47" s="28"/>
      <c r="M47" s="76" t="s">
        <v>132</v>
      </c>
      <c r="N47" s="36" t="e">
        <f>M47/(M46+M47+M48+M49)</f>
        <v>#VALUE!</v>
      </c>
      <c r="O47" s="14"/>
      <c r="P47" s="55" t="s">
        <v>84</v>
      </c>
      <c r="Q47" s="51"/>
      <c r="R47" s="55"/>
      <c r="S47" s="55"/>
      <c r="T47" s="55"/>
      <c r="U47" s="55"/>
      <c r="V47" s="55"/>
    </row>
    <row r="48" spans="1:22" ht="11.25">
      <c r="A48" s="20"/>
      <c r="B48" s="4"/>
      <c r="C48" s="4"/>
      <c r="D48" s="52"/>
      <c r="E48" s="53"/>
      <c r="F48" s="54" t="s">
        <v>51</v>
      </c>
      <c r="G48" s="76" t="s">
        <v>132</v>
      </c>
      <c r="H48" s="32" t="e">
        <f>G48/(G46+G47+G48+G49)</f>
        <v>#VALUE!</v>
      </c>
      <c r="I48" s="28"/>
      <c r="J48" s="76" t="s">
        <v>132</v>
      </c>
      <c r="K48" s="32" t="e">
        <f>J48/(J46+J47+J48+J49)</f>
        <v>#VALUE!</v>
      </c>
      <c r="L48" s="28"/>
      <c r="M48" s="76" t="s">
        <v>132</v>
      </c>
      <c r="N48" s="36" t="e">
        <f>M48/(M46+M47+M48+M49)</f>
        <v>#VALUE!</v>
      </c>
      <c r="O48" s="14"/>
      <c r="P48" s="55" t="s">
        <v>85</v>
      </c>
      <c r="Q48" s="51"/>
      <c r="R48" s="55"/>
      <c r="S48" s="55"/>
      <c r="T48" s="55"/>
      <c r="U48" s="55"/>
      <c r="V48" s="55"/>
    </row>
    <row r="49" spans="1:22" ht="11.25">
      <c r="A49" s="20"/>
      <c r="B49" s="4"/>
      <c r="C49" s="4"/>
      <c r="D49" s="52"/>
      <c r="E49" s="53"/>
      <c r="F49" s="54" t="s">
        <v>52</v>
      </c>
      <c r="G49" s="76" t="s">
        <v>132</v>
      </c>
      <c r="H49" s="32" t="e">
        <f>G49/(G46+G47+G48+G49)</f>
        <v>#VALUE!</v>
      </c>
      <c r="I49" s="28"/>
      <c r="J49" s="76" t="s">
        <v>132</v>
      </c>
      <c r="K49" s="32" t="e">
        <f>J49/(J46+J47+J48+J49)</f>
        <v>#VALUE!</v>
      </c>
      <c r="L49" s="28"/>
      <c r="M49" s="76" t="s">
        <v>132</v>
      </c>
      <c r="N49" s="36" t="e">
        <f>M49/(M46+M47+M48+M49)</f>
        <v>#VALUE!</v>
      </c>
      <c r="O49" s="14"/>
      <c r="P49" s="55" t="s">
        <v>85</v>
      </c>
      <c r="Q49" s="51"/>
      <c r="R49" s="55"/>
      <c r="S49" s="55"/>
      <c r="T49" s="55"/>
      <c r="U49" s="55"/>
      <c r="V49" s="55"/>
    </row>
    <row r="50" spans="1:14" ht="11.25">
      <c r="A50" s="21" t="s">
        <v>4</v>
      </c>
      <c r="B50" s="22"/>
      <c r="C50" s="4"/>
      <c r="D50" s="4"/>
      <c r="E50" s="3"/>
      <c r="F50" s="3"/>
      <c r="G50" s="8"/>
      <c r="H50" s="8"/>
      <c r="I50" s="3"/>
      <c r="J50" s="8"/>
      <c r="K50" s="8"/>
      <c r="L50" s="3"/>
      <c r="M50" s="8"/>
      <c r="N50" s="25"/>
    </row>
    <row r="51" spans="1:16" ht="11.25">
      <c r="A51" s="21"/>
      <c r="B51" s="22"/>
      <c r="C51" s="4"/>
      <c r="D51" s="4"/>
      <c r="E51" s="3"/>
      <c r="F51" s="63" t="s">
        <v>77</v>
      </c>
      <c r="G51" s="293">
        <v>0.93</v>
      </c>
      <c r="H51" s="294"/>
      <c r="I51" s="72"/>
      <c r="J51" s="293">
        <v>0.828</v>
      </c>
      <c r="K51" s="294"/>
      <c r="L51" s="72"/>
      <c r="M51" s="293">
        <v>0.884</v>
      </c>
      <c r="N51" s="295"/>
      <c r="P51" s="10" t="s">
        <v>87</v>
      </c>
    </row>
    <row r="52" spans="1:16" ht="11.25">
      <c r="A52" s="21"/>
      <c r="B52" s="22"/>
      <c r="C52" s="4"/>
      <c r="D52" s="4"/>
      <c r="E52" s="3"/>
      <c r="F52" s="63" t="s">
        <v>76</v>
      </c>
      <c r="G52" s="293" t="s">
        <v>132</v>
      </c>
      <c r="H52" s="294"/>
      <c r="I52" s="72"/>
      <c r="J52" s="293">
        <v>0.25</v>
      </c>
      <c r="K52" s="294"/>
      <c r="L52" s="72"/>
      <c r="M52" s="293">
        <v>0.455</v>
      </c>
      <c r="N52" s="295"/>
      <c r="P52" s="10" t="s">
        <v>79</v>
      </c>
    </row>
    <row r="53" spans="1:16" ht="11" customHeight="1">
      <c r="A53" s="20"/>
      <c r="B53" s="23"/>
      <c r="C53" s="4"/>
      <c r="D53" s="4"/>
      <c r="E53" s="3"/>
      <c r="F53" s="29" t="s">
        <v>10</v>
      </c>
      <c r="G53" s="296">
        <v>0</v>
      </c>
      <c r="H53" s="297"/>
      <c r="I53" s="3"/>
      <c r="J53" s="296">
        <v>1</v>
      </c>
      <c r="K53" s="297"/>
      <c r="L53" s="3"/>
      <c r="M53" s="296">
        <v>0</v>
      </c>
      <c r="N53" s="298"/>
      <c r="P53" s="10" t="s">
        <v>34</v>
      </c>
    </row>
    <row r="54" spans="1:16" ht="11.25">
      <c r="A54" s="20"/>
      <c r="B54" s="23"/>
      <c r="C54" s="4"/>
      <c r="D54" s="4"/>
      <c r="E54" s="3"/>
      <c r="F54" s="29" t="s">
        <v>8</v>
      </c>
      <c r="G54" s="296">
        <v>3</v>
      </c>
      <c r="H54" s="297"/>
      <c r="I54" s="14"/>
      <c r="J54" s="296">
        <v>4</v>
      </c>
      <c r="K54" s="297"/>
      <c r="L54" s="14"/>
      <c r="M54" s="296">
        <v>5</v>
      </c>
      <c r="N54" s="298"/>
      <c r="P54" s="10" t="s">
        <v>36</v>
      </c>
    </row>
    <row r="55" spans="1:16" ht="11.25">
      <c r="A55" s="20"/>
      <c r="B55" s="23"/>
      <c r="C55" s="4"/>
      <c r="D55" s="4"/>
      <c r="E55" s="3"/>
      <c r="F55" s="42" t="s">
        <v>11</v>
      </c>
      <c r="G55" s="296">
        <v>3.9</v>
      </c>
      <c r="H55" s="297"/>
      <c r="I55" s="3"/>
      <c r="J55" s="296">
        <v>2.5</v>
      </c>
      <c r="K55" s="297"/>
      <c r="L55" s="3"/>
      <c r="M55" s="296">
        <v>4.3</v>
      </c>
      <c r="N55" s="298"/>
      <c r="P55" s="10" t="s">
        <v>42</v>
      </c>
    </row>
    <row r="56" spans="1:19" ht="11.25">
      <c r="A56" s="20"/>
      <c r="B56" s="22"/>
      <c r="C56" s="4"/>
      <c r="D56" s="4"/>
      <c r="E56" s="3"/>
      <c r="F56" s="29" t="s">
        <v>9</v>
      </c>
      <c r="G56" s="293">
        <v>0.3</v>
      </c>
      <c r="H56" s="294"/>
      <c r="I56" s="3"/>
      <c r="J56" s="293">
        <v>0.4</v>
      </c>
      <c r="K56" s="294"/>
      <c r="L56" s="3"/>
      <c r="M56" s="293">
        <v>0.27</v>
      </c>
      <c r="N56" s="295"/>
      <c r="P56" s="10" t="s">
        <v>37</v>
      </c>
      <c r="Q56"/>
      <c r="R56"/>
      <c r="S56"/>
    </row>
    <row r="57" spans="1:19" ht="11.25">
      <c r="A57" s="20"/>
      <c r="B57" s="22"/>
      <c r="C57" s="4"/>
      <c r="D57" s="4"/>
      <c r="E57" s="27"/>
      <c r="F57" s="29" t="s">
        <v>12</v>
      </c>
      <c r="G57" s="296">
        <v>0</v>
      </c>
      <c r="H57" s="297"/>
      <c r="I57" s="28"/>
      <c r="J57" s="296">
        <v>0</v>
      </c>
      <c r="K57" s="297"/>
      <c r="L57" s="28"/>
      <c r="M57" s="296">
        <v>0</v>
      </c>
      <c r="N57" s="298"/>
      <c r="P57" s="10" t="s">
        <v>38</v>
      </c>
      <c r="Q57"/>
      <c r="R57"/>
      <c r="S57"/>
    </row>
    <row r="58" spans="1:19" ht="11.25">
      <c r="A58" s="20"/>
      <c r="B58" s="22"/>
      <c r="C58" s="4"/>
      <c r="D58" s="4"/>
      <c r="E58" s="3"/>
      <c r="F58" s="29" t="s">
        <v>19</v>
      </c>
      <c r="G58" s="293">
        <v>0.824</v>
      </c>
      <c r="H58" s="294"/>
      <c r="I58" s="28"/>
      <c r="J58" s="293">
        <v>0.412</v>
      </c>
      <c r="K58" s="294"/>
      <c r="L58" s="28"/>
      <c r="M58" s="293">
        <v>0.583</v>
      </c>
      <c r="N58" s="295"/>
      <c r="P58" s="10" t="s">
        <v>39</v>
      </c>
      <c r="Q58"/>
      <c r="R58"/>
      <c r="S58"/>
    </row>
    <row r="59" spans="1:19" ht="11.25">
      <c r="A59" s="20"/>
      <c r="B59" s="22"/>
      <c r="C59" s="4"/>
      <c r="D59" s="4"/>
      <c r="E59" s="3"/>
      <c r="F59" s="29" t="s">
        <v>0</v>
      </c>
      <c r="G59" s="293">
        <v>-0.014</v>
      </c>
      <c r="H59" s="294"/>
      <c r="I59" s="28"/>
      <c r="J59" s="293">
        <v>0.013</v>
      </c>
      <c r="K59" s="294"/>
      <c r="L59" s="28"/>
      <c r="M59" s="293">
        <v>-0.007</v>
      </c>
      <c r="N59" s="295"/>
      <c r="P59" s="10" t="s">
        <v>40</v>
      </c>
      <c r="Q59"/>
      <c r="R59"/>
      <c r="S59"/>
    </row>
    <row r="60" spans="1:14" ht="11.25">
      <c r="A60" s="21" t="s">
        <v>1</v>
      </c>
      <c r="B60" s="28"/>
      <c r="C60" s="28"/>
      <c r="D60" s="28"/>
      <c r="E60" s="28"/>
      <c r="F60" s="28"/>
      <c r="G60" s="28"/>
      <c r="H60" s="28"/>
      <c r="I60" s="28"/>
      <c r="J60" s="28"/>
      <c r="K60" s="28"/>
      <c r="L60" s="28"/>
      <c r="M60" s="28"/>
      <c r="N60" s="33"/>
    </row>
    <row r="61" spans="1:16" ht="11.25">
      <c r="A61" s="37" t="s">
        <v>125</v>
      </c>
      <c r="B61" s="28"/>
      <c r="C61" s="28"/>
      <c r="D61" s="28"/>
      <c r="E61" s="28"/>
      <c r="F61" s="28"/>
      <c r="G61" s="28"/>
      <c r="H61" s="28"/>
      <c r="I61" s="28"/>
      <c r="J61" s="28"/>
      <c r="K61" s="28"/>
      <c r="L61" s="28"/>
      <c r="M61" s="28"/>
      <c r="N61" s="33"/>
      <c r="P61" t="s">
        <v>35</v>
      </c>
    </row>
    <row r="62" spans="1:14" ht="11.25">
      <c r="A62" s="38" t="s">
        <v>126</v>
      </c>
      <c r="B62" s="23"/>
      <c r="C62" s="23"/>
      <c r="D62" s="23"/>
      <c r="E62" s="23"/>
      <c r="F62" s="23"/>
      <c r="G62" s="23"/>
      <c r="H62" s="23"/>
      <c r="I62" s="23"/>
      <c r="J62" s="23"/>
      <c r="K62" s="23"/>
      <c r="L62" s="23"/>
      <c r="M62" s="23"/>
      <c r="N62" s="24"/>
    </row>
    <row r="63" spans="1:14" ht="11.25">
      <c r="A63" s="38" t="s">
        <v>127</v>
      </c>
      <c r="B63" s="23"/>
      <c r="C63" s="23"/>
      <c r="D63" s="23"/>
      <c r="E63" s="23"/>
      <c r="F63" s="23"/>
      <c r="G63" s="23"/>
      <c r="H63" s="23"/>
      <c r="I63" s="23"/>
      <c r="J63" s="23"/>
      <c r="K63" s="23"/>
      <c r="L63" s="23"/>
      <c r="M63" s="23"/>
      <c r="N63" s="24"/>
    </row>
    <row r="64" spans="1:16" ht="11.25">
      <c r="A64" s="38"/>
      <c r="B64" s="23"/>
      <c r="C64" s="23"/>
      <c r="D64" s="23"/>
      <c r="E64" s="23"/>
      <c r="F64" s="23"/>
      <c r="G64" s="23"/>
      <c r="H64" s="23"/>
      <c r="I64" s="23"/>
      <c r="J64" s="23"/>
      <c r="K64" s="23"/>
      <c r="L64" s="23"/>
      <c r="M64" s="23"/>
      <c r="N64" s="24"/>
      <c r="P64" s="44" t="s">
        <v>41</v>
      </c>
    </row>
    <row r="65" spans="1:14" ht="11.25">
      <c r="A65" s="38"/>
      <c r="B65" s="23"/>
      <c r="C65" s="23"/>
      <c r="D65" s="23"/>
      <c r="E65" s="23"/>
      <c r="F65" s="23"/>
      <c r="G65" s="23"/>
      <c r="H65" s="23"/>
      <c r="I65" s="23"/>
      <c r="J65" s="23"/>
      <c r="K65" s="23"/>
      <c r="L65" s="23"/>
      <c r="M65" s="23"/>
      <c r="N65" s="24"/>
    </row>
    <row r="66" spans="1:14" ht="12.75" thickBot="1">
      <c r="A66" s="39"/>
      <c r="B66" s="40"/>
      <c r="C66" s="40"/>
      <c r="D66" s="40"/>
      <c r="E66" s="40"/>
      <c r="F66" s="40"/>
      <c r="G66" s="40"/>
      <c r="H66" s="40"/>
      <c r="I66" s="40"/>
      <c r="J66" s="40"/>
      <c r="K66" s="40"/>
      <c r="L66" s="40"/>
      <c r="M66" s="40"/>
      <c r="N66" s="41"/>
    </row>
  </sheetData>
  <mergeCells count="122">
    <mergeCell ref="G5:H5"/>
    <mergeCell ref="G6:H6"/>
    <mergeCell ref="G7:H7"/>
    <mergeCell ref="G8:H8"/>
    <mergeCell ref="G9:H9"/>
    <mergeCell ref="J9:K9"/>
    <mergeCell ref="G2:N2"/>
    <mergeCell ref="G3:H3"/>
    <mergeCell ref="J3:K3"/>
    <mergeCell ref="M3:N3"/>
    <mergeCell ref="G4:H4"/>
    <mergeCell ref="J4:K4"/>
    <mergeCell ref="M4:N4"/>
    <mergeCell ref="G13:H13"/>
    <mergeCell ref="J13:K13"/>
    <mergeCell ref="M13:N13"/>
    <mergeCell ref="G14:H14"/>
    <mergeCell ref="J14:K14"/>
    <mergeCell ref="M14:N14"/>
    <mergeCell ref="M9:N9"/>
    <mergeCell ref="G11:H11"/>
    <mergeCell ref="J11:K11"/>
    <mergeCell ref="M11:N11"/>
    <mergeCell ref="G12:H12"/>
    <mergeCell ref="J12:K12"/>
    <mergeCell ref="M12:N12"/>
    <mergeCell ref="G18:H18"/>
    <mergeCell ref="J18:K18"/>
    <mergeCell ref="M18:N18"/>
    <mergeCell ref="G19:H19"/>
    <mergeCell ref="J19:K19"/>
    <mergeCell ref="M19:N19"/>
    <mergeCell ref="G15:H15"/>
    <mergeCell ref="J15:K15"/>
    <mergeCell ref="M15:N15"/>
    <mergeCell ref="G16:H16"/>
    <mergeCell ref="J16:K16"/>
    <mergeCell ref="M16:N16"/>
    <mergeCell ref="G22:H22"/>
    <mergeCell ref="J22:K22"/>
    <mergeCell ref="M22:N22"/>
    <mergeCell ref="G24:H24"/>
    <mergeCell ref="J24:K24"/>
    <mergeCell ref="M24:N24"/>
    <mergeCell ref="G20:H20"/>
    <mergeCell ref="J20:K20"/>
    <mergeCell ref="M20:N20"/>
    <mergeCell ref="G21:H21"/>
    <mergeCell ref="J21:K21"/>
    <mergeCell ref="M21:N21"/>
    <mergeCell ref="G28:H28"/>
    <mergeCell ref="J28:K28"/>
    <mergeCell ref="M28:N28"/>
    <mergeCell ref="G29:H29"/>
    <mergeCell ref="J29:K29"/>
    <mergeCell ref="M29:N29"/>
    <mergeCell ref="G25:H25"/>
    <mergeCell ref="J25:K25"/>
    <mergeCell ref="M25:N25"/>
    <mergeCell ref="G27:H27"/>
    <mergeCell ref="J27:K27"/>
    <mergeCell ref="M27:N27"/>
    <mergeCell ref="G34:H34"/>
    <mergeCell ref="J34:K34"/>
    <mergeCell ref="M34:N34"/>
    <mergeCell ref="G35:H35"/>
    <mergeCell ref="J35:K35"/>
    <mergeCell ref="M35:N35"/>
    <mergeCell ref="G31:H31"/>
    <mergeCell ref="J31:K31"/>
    <mergeCell ref="M31:N31"/>
    <mergeCell ref="G33:H33"/>
    <mergeCell ref="J33:K33"/>
    <mergeCell ref="M33:N33"/>
    <mergeCell ref="G39:H39"/>
    <mergeCell ref="J39:K39"/>
    <mergeCell ref="M39:N39"/>
    <mergeCell ref="G40:H40"/>
    <mergeCell ref="J40:K40"/>
    <mergeCell ref="M40:N40"/>
    <mergeCell ref="G36:H36"/>
    <mergeCell ref="J36:K36"/>
    <mergeCell ref="M36:N36"/>
    <mergeCell ref="G38:H38"/>
    <mergeCell ref="J38:K38"/>
    <mergeCell ref="M38:N38"/>
    <mergeCell ref="G51:H51"/>
    <mergeCell ref="J51:K51"/>
    <mergeCell ref="M51:N51"/>
    <mergeCell ref="G52:H52"/>
    <mergeCell ref="J52:K52"/>
    <mergeCell ref="M52:N52"/>
    <mergeCell ref="G41:H41"/>
    <mergeCell ref="J41:K41"/>
    <mergeCell ref="M41:N41"/>
    <mergeCell ref="G43:H43"/>
    <mergeCell ref="J43:K43"/>
    <mergeCell ref="M43:N43"/>
    <mergeCell ref="G59:H59"/>
    <mergeCell ref="J59:K59"/>
    <mergeCell ref="M59:N59"/>
    <mergeCell ref="G44:H44"/>
    <mergeCell ref="J44:K44"/>
    <mergeCell ref="M44:N44"/>
    <mergeCell ref="G57:H57"/>
    <mergeCell ref="J57:K57"/>
    <mergeCell ref="M57:N57"/>
    <mergeCell ref="G58:H58"/>
    <mergeCell ref="J58:K58"/>
    <mergeCell ref="M58:N58"/>
    <mergeCell ref="G55:H55"/>
    <mergeCell ref="J55:K55"/>
    <mergeCell ref="M55:N55"/>
    <mergeCell ref="G56:H56"/>
    <mergeCell ref="J56:K56"/>
    <mergeCell ref="M56:N56"/>
    <mergeCell ref="G53:H53"/>
    <mergeCell ref="J53:K53"/>
    <mergeCell ref="M53:N53"/>
    <mergeCell ref="G54:H54"/>
    <mergeCell ref="J54:K54"/>
    <mergeCell ref="M54:N54"/>
  </mergeCells>
  <printOptions/>
  <pageMargins left="0.25" right="0.25" top="0.75" bottom="0.75" header="0.3" footer="0.3"/>
  <pageSetup fitToHeight="1" fitToWidth="1" horizontalDpi="1200" verticalDpi="1200" orientation="portrait" scale="94" r:id="rId3"/>
  <colBreaks count="1" manualBreakCount="1">
    <brk id="14" max="16383" man="1"/>
  </colBreaks>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V66"/>
  <sheetViews>
    <sheetView showGridLines="0" workbookViewId="0" topLeftCell="A10">
      <selection activeCell="G56" sqref="G56:H56"/>
    </sheetView>
  </sheetViews>
  <sheetFormatPr defaultColWidth="9.00390625" defaultRowHeight="11.25"/>
  <cols>
    <col min="1" max="1" width="4.625" style="1" customWidth="1"/>
    <col min="2" max="5" width="9.00390625" style="1" customWidth="1"/>
    <col min="6" max="6" width="7.125" style="1" customWidth="1"/>
    <col min="7" max="8" width="9.125" style="1" customWidth="1"/>
    <col min="9" max="9" width="1.75390625" style="1" customWidth="1"/>
    <col min="10" max="11" width="9.125" style="1" customWidth="1"/>
    <col min="12" max="12" width="1.75390625" style="1" customWidth="1"/>
    <col min="13" max="14" width="9.125" style="1" customWidth="1"/>
    <col min="15" max="15" width="3.75390625" style="10" customWidth="1"/>
    <col min="16" max="16384" width="9.00390625" style="10" customWidth="1"/>
  </cols>
  <sheetData>
    <row r="1" spans="1:14" s="12" customFormat="1" ht="11.25">
      <c r="A1" s="17" t="s">
        <v>88</v>
      </c>
      <c r="B1" s="18"/>
      <c r="C1" s="18"/>
      <c r="D1" s="18"/>
      <c r="E1" s="18"/>
      <c r="F1" s="18"/>
      <c r="G1" s="18"/>
      <c r="H1" s="18"/>
      <c r="I1" s="18"/>
      <c r="J1" s="18"/>
      <c r="K1" s="18"/>
      <c r="L1" s="18"/>
      <c r="M1" s="18"/>
      <c r="N1" s="19"/>
    </row>
    <row r="2" spans="1:16" s="12" customFormat="1" ht="11.25">
      <c r="A2" s="20" t="s">
        <v>89</v>
      </c>
      <c r="B2" s="15"/>
      <c r="C2" s="15"/>
      <c r="D2" s="15"/>
      <c r="E2" s="15"/>
      <c r="F2" s="15"/>
      <c r="G2" s="328" t="s">
        <v>26</v>
      </c>
      <c r="H2" s="328"/>
      <c r="I2" s="328"/>
      <c r="J2" s="328"/>
      <c r="K2" s="328"/>
      <c r="L2" s="328"/>
      <c r="M2" s="328"/>
      <c r="N2" s="329"/>
      <c r="P2" s="43" t="s">
        <v>27</v>
      </c>
    </row>
    <row r="3" spans="1:14" ht="11.25">
      <c r="A3" s="45"/>
      <c r="B3" s="2"/>
      <c r="C3" s="2"/>
      <c r="D3" s="2"/>
      <c r="E3" s="2"/>
      <c r="F3" s="16" t="s">
        <v>14</v>
      </c>
      <c r="G3" s="330">
        <v>19</v>
      </c>
      <c r="H3" s="327"/>
      <c r="I3" s="2"/>
      <c r="J3" s="330">
        <v>18</v>
      </c>
      <c r="K3" s="327"/>
      <c r="L3" s="2"/>
      <c r="M3" s="330">
        <v>17</v>
      </c>
      <c r="N3" s="331"/>
    </row>
    <row r="4" spans="1:14" ht="11.25">
      <c r="A4" s="20"/>
      <c r="B4" s="2"/>
      <c r="C4" s="2"/>
      <c r="D4" s="2"/>
      <c r="E4" s="2"/>
      <c r="F4" s="16" t="s">
        <v>15</v>
      </c>
      <c r="G4" s="330" t="s">
        <v>80</v>
      </c>
      <c r="H4" s="327"/>
      <c r="I4" s="2"/>
      <c r="J4" s="330" t="s">
        <v>81</v>
      </c>
      <c r="K4" s="327"/>
      <c r="L4" s="2"/>
      <c r="M4" s="330" t="s">
        <v>82</v>
      </c>
      <c r="N4" s="331"/>
    </row>
    <row r="5" spans="1:14" ht="11.25">
      <c r="A5" s="20"/>
      <c r="B5" s="2"/>
      <c r="C5" s="2"/>
      <c r="D5" s="2"/>
      <c r="E5" s="2"/>
      <c r="F5" s="16" t="s">
        <v>16</v>
      </c>
      <c r="G5" s="321" t="s">
        <v>95</v>
      </c>
      <c r="H5" s="322"/>
      <c r="I5" s="2"/>
      <c r="J5" s="28"/>
      <c r="K5" s="28"/>
      <c r="L5" s="28"/>
      <c r="M5" s="28"/>
      <c r="N5" s="33"/>
    </row>
    <row r="6" spans="1:14" ht="11.25">
      <c r="A6" s="20"/>
      <c r="B6" s="2"/>
      <c r="C6" s="2"/>
      <c r="D6" s="2"/>
      <c r="E6" s="2"/>
      <c r="F6" s="16" t="s">
        <v>17</v>
      </c>
      <c r="G6" s="323" t="s">
        <v>133</v>
      </c>
      <c r="H6" s="323"/>
      <c r="I6" s="2"/>
      <c r="J6" s="28"/>
      <c r="K6" s="28"/>
      <c r="L6" s="28"/>
      <c r="M6" s="28"/>
      <c r="N6" s="33"/>
    </row>
    <row r="7" spans="1:14" ht="11.25">
      <c r="A7" s="20"/>
      <c r="B7" s="2"/>
      <c r="C7" s="2"/>
      <c r="D7" s="2"/>
      <c r="E7" s="2"/>
      <c r="F7" s="16" t="s">
        <v>33</v>
      </c>
      <c r="G7" s="324" t="s">
        <v>101</v>
      </c>
      <c r="H7" s="325"/>
      <c r="I7" s="2"/>
      <c r="J7" s="28"/>
      <c r="K7" s="28"/>
      <c r="L7" s="28"/>
      <c r="M7" s="28"/>
      <c r="N7" s="33"/>
    </row>
    <row r="8" spans="1:14" ht="11.25">
      <c r="A8" s="20"/>
      <c r="B8" s="2"/>
      <c r="C8" s="2"/>
      <c r="D8" s="2"/>
      <c r="E8" s="2"/>
      <c r="F8" s="16" t="s">
        <v>18</v>
      </c>
      <c r="G8" s="326">
        <v>43923</v>
      </c>
      <c r="H8" s="327"/>
      <c r="I8" s="2"/>
      <c r="J8" s="28"/>
      <c r="K8" s="28"/>
      <c r="L8" s="28"/>
      <c r="M8" s="28"/>
      <c r="N8" s="33"/>
    </row>
    <row r="9" spans="1:14" ht="12.75">
      <c r="A9" s="21" t="s">
        <v>2</v>
      </c>
      <c r="B9" s="22"/>
      <c r="C9" s="4"/>
      <c r="D9" s="4"/>
      <c r="E9" s="3"/>
      <c r="F9" s="3"/>
      <c r="G9" s="319"/>
      <c r="H9" s="319"/>
      <c r="I9" s="3"/>
      <c r="J9" s="319"/>
      <c r="K9" s="319"/>
      <c r="L9" s="3"/>
      <c r="M9" s="319"/>
      <c r="N9" s="320"/>
    </row>
    <row r="10" spans="1:15" ht="12.75">
      <c r="A10" s="20"/>
      <c r="B10" s="22" t="s">
        <v>56</v>
      </c>
      <c r="C10" s="4"/>
      <c r="D10" s="4"/>
      <c r="E10" s="3"/>
      <c r="F10" s="29"/>
      <c r="G10" s="58"/>
      <c r="H10" s="58"/>
      <c r="I10" s="5"/>
      <c r="J10" s="58"/>
      <c r="K10" s="58"/>
      <c r="L10" s="5"/>
      <c r="M10" s="58"/>
      <c r="N10" s="59"/>
      <c r="O10" s="11"/>
    </row>
    <row r="11" spans="1:16" ht="11.25">
      <c r="A11" s="20"/>
      <c r="B11" s="22"/>
      <c r="C11" s="6"/>
      <c r="D11" s="6"/>
      <c r="E11" s="7"/>
      <c r="F11" s="30" t="s">
        <v>7</v>
      </c>
      <c r="G11" s="313">
        <v>1081</v>
      </c>
      <c r="H11" s="314"/>
      <c r="I11" s="5"/>
      <c r="J11" s="313">
        <v>905</v>
      </c>
      <c r="K11" s="314"/>
      <c r="L11" s="5"/>
      <c r="M11" s="313">
        <v>1007</v>
      </c>
      <c r="N11" s="315"/>
      <c r="P11" s="10" t="s">
        <v>28</v>
      </c>
    </row>
    <row r="12" spans="1:16" ht="12.75">
      <c r="A12" s="20"/>
      <c r="B12" s="22"/>
      <c r="C12" s="4"/>
      <c r="D12" s="4"/>
      <c r="E12" s="3"/>
      <c r="F12" s="29" t="s">
        <v>5</v>
      </c>
      <c r="G12" s="316">
        <v>0.036</v>
      </c>
      <c r="H12" s="317"/>
      <c r="I12" s="5"/>
      <c r="J12" s="316">
        <v>-0.039</v>
      </c>
      <c r="K12" s="317"/>
      <c r="L12" s="5"/>
      <c r="M12" s="316">
        <v>-0.029</v>
      </c>
      <c r="N12" s="318"/>
      <c r="O12" s="11"/>
      <c r="P12" s="10" t="s">
        <v>29</v>
      </c>
    </row>
    <row r="13" spans="1:16" ht="12.75">
      <c r="A13" s="20"/>
      <c r="B13" s="22"/>
      <c r="C13" s="4"/>
      <c r="D13" s="4"/>
      <c r="E13" s="3"/>
      <c r="F13" s="29" t="s">
        <v>53</v>
      </c>
      <c r="G13" s="313">
        <v>1</v>
      </c>
      <c r="H13" s="314"/>
      <c r="I13" s="5"/>
      <c r="J13" s="313">
        <v>1</v>
      </c>
      <c r="K13" s="314"/>
      <c r="L13" s="5"/>
      <c r="M13" s="313">
        <v>1</v>
      </c>
      <c r="N13" s="315"/>
      <c r="O13" s="11"/>
      <c r="P13" s="10" t="s">
        <v>71</v>
      </c>
    </row>
    <row r="14" spans="1:16" ht="12.75">
      <c r="A14" s="20"/>
      <c r="B14" s="22"/>
      <c r="C14" s="4"/>
      <c r="D14" s="4"/>
      <c r="E14" s="3"/>
      <c r="F14" s="29" t="s">
        <v>54</v>
      </c>
      <c r="G14" s="313">
        <v>23</v>
      </c>
      <c r="H14" s="314"/>
      <c r="I14" s="5"/>
      <c r="J14" s="313">
        <v>19</v>
      </c>
      <c r="K14" s="314"/>
      <c r="L14" s="5"/>
      <c r="M14" s="313">
        <v>25</v>
      </c>
      <c r="N14" s="315"/>
      <c r="O14" s="11"/>
      <c r="P14" s="10" t="s">
        <v>70</v>
      </c>
    </row>
    <row r="15" spans="1:16" ht="12.75">
      <c r="A15" s="20"/>
      <c r="B15" s="22"/>
      <c r="C15" s="4"/>
      <c r="D15" s="4"/>
      <c r="E15" s="3"/>
      <c r="F15" s="29" t="s">
        <v>55</v>
      </c>
      <c r="G15" s="313">
        <v>4</v>
      </c>
      <c r="H15" s="314"/>
      <c r="I15" s="5"/>
      <c r="J15" s="313">
        <v>4</v>
      </c>
      <c r="K15" s="314"/>
      <c r="L15" s="5"/>
      <c r="M15" s="313">
        <v>4</v>
      </c>
      <c r="N15" s="315"/>
      <c r="O15" s="11"/>
      <c r="P15" s="10" t="s">
        <v>69</v>
      </c>
    </row>
    <row r="16" spans="1:16" ht="12.75">
      <c r="A16" s="20"/>
      <c r="B16" s="22"/>
      <c r="C16" s="4"/>
      <c r="D16" s="4"/>
      <c r="E16" s="3"/>
      <c r="F16" s="29" t="s">
        <v>78</v>
      </c>
      <c r="G16" s="313">
        <v>8</v>
      </c>
      <c r="H16" s="314"/>
      <c r="I16" s="5"/>
      <c r="J16" s="313">
        <v>11</v>
      </c>
      <c r="K16" s="314"/>
      <c r="L16" s="5"/>
      <c r="M16" s="313">
        <v>9</v>
      </c>
      <c r="N16" s="315"/>
      <c r="O16" s="11"/>
      <c r="P16" s="10" t="s">
        <v>86</v>
      </c>
    </row>
    <row r="17" spans="1:15" ht="12.75">
      <c r="A17" s="20"/>
      <c r="B17" s="22" t="s">
        <v>57</v>
      </c>
      <c r="C17" s="4"/>
      <c r="D17" s="4"/>
      <c r="E17" s="3"/>
      <c r="F17" s="29"/>
      <c r="G17" s="58"/>
      <c r="H17" s="58"/>
      <c r="I17" s="5"/>
      <c r="J17" s="58"/>
      <c r="K17" s="58"/>
      <c r="L17" s="5"/>
      <c r="M17" s="58"/>
      <c r="N17" s="59"/>
      <c r="O17" s="11"/>
    </row>
    <row r="18" spans="1:16" ht="11.25">
      <c r="A18" s="20"/>
      <c r="B18" s="22"/>
      <c r="C18" s="6"/>
      <c r="D18" s="6"/>
      <c r="E18" s="7"/>
      <c r="F18" s="30" t="s">
        <v>7</v>
      </c>
      <c r="G18" s="313">
        <v>425</v>
      </c>
      <c r="H18" s="314"/>
      <c r="I18" s="5"/>
      <c r="J18" s="313">
        <v>498</v>
      </c>
      <c r="K18" s="314"/>
      <c r="L18" s="5"/>
      <c r="M18" s="313">
        <v>489</v>
      </c>
      <c r="N18" s="315"/>
      <c r="P18" s="10" t="s">
        <v>28</v>
      </c>
    </row>
    <row r="19" spans="1:16" ht="12.75">
      <c r="A19" s="20"/>
      <c r="B19" s="22"/>
      <c r="C19" s="4"/>
      <c r="D19" s="4"/>
      <c r="E19" s="3"/>
      <c r="F19" s="29" t="s">
        <v>5</v>
      </c>
      <c r="G19" s="316">
        <v>-0.068</v>
      </c>
      <c r="H19" s="317"/>
      <c r="I19" s="5"/>
      <c r="J19" s="316">
        <v>0.16</v>
      </c>
      <c r="K19" s="317"/>
      <c r="L19" s="5"/>
      <c r="M19" s="316">
        <v>0.04</v>
      </c>
      <c r="N19" s="318"/>
      <c r="O19" s="11"/>
      <c r="P19" s="10" t="s">
        <v>29</v>
      </c>
    </row>
    <row r="20" spans="1:16" ht="12.75">
      <c r="A20" s="20"/>
      <c r="B20" s="22"/>
      <c r="C20" s="4"/>
      <c r="D20" s="4"/>
      <c r="E20" s="3"/>
      <c r="F20" s="29" t="s">
        <v>58</v>
      </c>
      <c r="G20" s="313">
        <v>1</v>
      </c>
      <c r="H20" s="314"/>
      <c r="I20" s="5"/>
      <c r="J20" s="313">
        <v>1</v>
      </c>
      <c r="K20" s="314"/>
      <c r="L20" s="5"/>
      <c r="M20" s="313">
        <v>1</v>
      </c>
      <c r="N20" s="315"/>
      <c r="O20" s="11"/>
      <c r="P20" s="10" t="s">
        <v>71</v>
      </c>
    </row>
    <row r="21" spans="1:16" ht="12.75">
      <c r="A21" s="20"/>
      <c r="B21" s="22"/>
      <c r="C21" s="4"/>
      <c r="D21" s="4"/>
      <c r="E21" s="3"/>
      <c r="F21" s="29" t="s">
        <v>59</v>
      </c>
      <c r="G21" s="313">
        <v>18</v>
      </c>
      <c r="H21" s="314"/>
      <c r="I21" s="5"/>
      <c r="J21" s="313">
        <v>17</v>
      </c>
      <c r="K21" s="314"/>
      <c r="L21" s="5"/>
      <c r="M21" s="313">
        <v>16</v>
      </c>
      <c r="N21" s="315"/>
      <c r="O21" s="11"/>
      <c r="P21" s="10" t="s">
        <v>83</v>
      </c>
    </row>
    <row r="22" spans="1:16" ht="12.75">
      <c r="A22" s="20"/>
      <c r="B22" s="22"/>
      <c r="C22" s="4"/>
      <c r="D22" s="4"/>
      <c r="E22" s="3"/>
      <c r="F22" s="29" t="s">
        <v>78</v>
      </c>
      <c r="G22" s="313">
        <v>4</v>
      </c>
      <c r="H22" s="314"/>
      <c r="I22" s="5"/>
      <c r="J22" s="313">
        <v>7</v>
      </c>
      <c r="K22" s="314"/>
      <c r="L22" s="5"/>
      <c r="M22" s="313">
        <v>6</v>
      </c>
      <c r="N22" s="315"/>
      <c r="O22" s="11"/>
      <c r="P22" s="10" t="s">
        <v>86</v>
      </c>
    </row>
    <row r="23" spans="1:14" ht="11.25">
      <c r="A23" s="20"/>
      <c r="B23" s="4" t="s">
        <v>6</v>
      </c>
      <c r="C23" s="4"/>
      <c r="D23" s="4"/>
      <c r="E23" s="3"/>
      <c r="F23" s="3"/>
      <c r="G23" s="23"/>
      <c r="H23" s="23"/>
      <c r="I23" s="5"/>
      <c r="J23" s="23"/>
      <c r="K23" s="23"/>
      <c r="L23" s="5"/>
      <c r="M23" s="23"/>
      <c r="N23" s="24"/>
    </row>
    <row r="24" spans="1:16" ht="11.25">
      <c r="A24" s="20"/>
      <c r="B24" s="22"/>
      <c r="C24" s="4"/>
      <c r="D24" s="4"/>
      <c r="E24" s="3"/>
      <c r="F24" s="29" t="s">
        <v>20</v>
      </c>
      <c r="G24" s="293">
        <v>0.817</v>
      </c>
      <c r="H24" s="294"/>
      <c r="I24" s="3"/>
      <c r="J24" s="293">
        <v>0.822</v>
      </c>
      <c r="K24" s="294"/>
      <c r="L24" s="3"/>
      <c r="M24" s="293">
        <v>0.858</v>
      </c>
      <c r="N24" s="295"/>
      <c r="P24" s="10" t="s">
        <v>30</v>
      </c>
    </row>
    <row r="25" spans="1:16" ht="11.25">
      <c r="A25" s="20"/>
      <c r="B25" s="22"/>
      <c r="C25" s="4"/>
      <c r="D25" s="4"/>
      <c r="E25" s="3"/>
      <c r="F25" s="29" t="s">
        <v>21</v>
      </c>
      <c r="G25" s="293">
        <v>0.183</v>
      </c>
      <c r="H25" s="294"/>
      <c r="I25" s="3"/>
      <c r="J25" s="293">
        <v>0.178</v>
      </c>
      <c r="K25" s="294"/>
      <c r="L25" s="3"/>
      <c r="M25" s="293">
        <v>0.142</v>
      </c>
      <c r="N25" s="295"/>
      <c r="P25" s="10" t="s">
        <v>31</v>
      </c>
    </row>
    <row r="26" spans="1:14" ht="11.25">
      <c r="A26" s="62" t="s">
        <v>60</v>
      </c>
      <c r="B26" s="22"/>
      <c r="C26" s="4"/>
      <c r="D26" s="4"/>
      <c r="E26" s="3"/>
      <c r="F26" s="29"/>
      <c r="G26" s="60"/>
      <c r="H26" s="60"/>
      <c r="I26" s="5"/>
      <c r="J26" s="60"/>
      <c r="K26" s="60"/>
      <c r="L26" s="5"/>
      <c r="M26" s="60"/>
      <c r="N26" s="61"/>
    </row>
    <row r="27" spans="1:16" ht="11.25">
      <c r="A27" s="20"/>
      <c r="B27" s="22"/>
      <c r="C27" s="4"/>
      <c r="D27" s="4"/>
      <c r="E27" s="3"/>
      <c r="F27" s="29" t="s">
        <v>61</v>
      </c>
      <c r="G27" s="313">
        <f>411571.56-G28</f>
        <v>372205.56</v>
      </c>
      <c r="H27" s="314"/>
      <c r="I27" s="5"/>
      <c r="J27" s="313">
        <f>379299.2-J28</f>
        <v>340991.2</v>
      </c>
      <c r="K27" s="314"/>
      <c r="L27" s="5"/>
      <c r="M27" s="313">
        <f>403751.03-M28</f>
        <v>367698.79000000004</v>
      </c>
      <c r="N27" s="315"/>
      <c r="P27" s="10" t="s">
        <v>91</v>
      </c>
    </row>
    <row r="28" spans="1:16" ht="11.25">
      <c r="A28" s="20"/>
      <c r="B28" s="22"/>
      <c r="C28" s="4"/>
      <c r="D28" s="4"/>
      <c r="E28" s="3"/>
      <c r="F28" s="29" t="s">
        <v>62</v>
      </c>
      <c r="G28" s="313">
        <v>39366</v>
      </c>
      <c r="H28" s="314"/>
      <c r="I28" s="5"/>
      <c r="J28" s="313">
        <v>38308</v>
      </c>
      <c r="K28" s="314"/>
      <c r="L28" s="5"/>
      <c r="M28" s="313">
        <v>36052.24</v>
      </c>
      <c r="N28" s="315"/>
      <c r="P28" s="10" t="s">
        <v>91</v>
      </c>
    </row>
    <row r="29" spans="1:16" ht="11.25">
      <c r="A29" s="20"/>
      <c r="B29" s="22"/>
      <c r="C29" s="4"/>
      <c r="D29" s="4"/>
      <c r="E29" s="3"/>
      <c r="F29" s="29" t="s">
        <v>63</v>
      </c>
      <c r="G29" s="310">
        <v>121315.8</v>
      </c>
      <c r="H29" s="311"/>
      <c r="I29" s="5"/>
      <c r="J29" s="310">
        <v>113164.2</v>
      </c>
      <c r="K29" s="311"/>
      <c r="L29" s="5"/>
      <c r="M29" s="310">
        <v>124925.07</v>
      </c>
      <c r="N29" s="312"/>
      <c r="P29" s="10" t="s">
        <v>90</v>
      </c>
    </row>
    <row r="30" spans="1:14" ht="11.25">
      <c r="A30" s="20"/>
      <c r="B30" s="22"/>
      <c r="C30" s="4"/>
      <c r="D30" s="4"/>
      <c r="E30" s="3"/>
      <c r="F30" s="29"/>
      <c r="G30" s="73"/>
      <c r="H30" s="74"/>
      <c r="I30" s="5"/>
      <c r="J30" s="73"/>
      <c r="K30" s="74"/>
      <c r="L30" s="5"/>
      <c r="M30" s="73"/>
      <c r="N30" s="75"/>
    </row>
    <row r="31" spans="1:18" ht="11.25">
      <c r="A31" s="20"/>
      <c r="B31" s="4"/>
      <c r="C31" s="4"/>
      <c r="D31" s="4"/>
      <c r="E31" s="3"/>
      <c r="F31" s="63" t="s">
        <v>64</v>
      </c>
      <c r="G31" s="299">
        <f>(SUM(G27:G29))/(G11+G18)</f>
        <v>353.8428685258964</v>
      </c>
      <c r="H31" s="300"/>
      <c r="I31" s="22"/>
      <c r="J31" s="299">
        <f>SUM(J27:K29)/(J11+J18)</f>
        <v>351.0074126870991</v>
      </c>
      <c r="K31" s="300"/>
      <c r="L31" s="22"/>
      <c r="M31" s="299">
        <f>SUM(M27:N29)/(M11+M18)</f>
        <v>353.3931149732621</v>
      </c>
      <c r="N31" s="301"/>
      <c r="O31"/>
      <c r="P31" t="s">
        <v>32</v>
      </c>
      <c r="Q31"/>
      <c r="R31"/>
    </row>
    <row r="32" spans="1:14" ht="11.25">
      <c r="A32" s="21" t="s">
        <v>3</v>
      </c>
      <c r="B32" s="22"/>
      <c r="C32" s="4"/>
      <c r="D32" s="4"/>
      <c r="E32" s="3"/>
      <c r="F32" s="3"/>
      <c r="G32" s="8"/>
      <c r="H32" s="8"/>
      <c r="I32" s="3"/>
      <c r="J32" s="8"/>
      <c r="K32" s="8"/>
      <c r="L32" s="3"/>
      <c r="M32" s="8"/>
      <c r="N32" s="25"/>
    </row>
    <row r="33" spans="1:22" ht="11.25">
      <c r="A33" s="20"/>
      <c r="B33" s="22"/>
      <c r="C33" s="4"/>
      <c r="D33" s="48"/>
      <c r="E33" s="49"/>
      <c r="F33" s="50" t="s">
        <v>43</v>
      </c>
      <c r="G33" s="302">
        <f>1+1.9</f>
        <v>2.9</v>
      </c>
      <c r="H33" s="303"/>
      <c r="I33" s="56"/>
      <c r="J33" s="302">
        <f>1.6+1.8</f>
        <v>3.4000000000000004</v>
      </c>
      <c r="K33" s="303"/>
      <c r="L33" s="56"/>
      <c r="M33" s="302">
        <f>2.1+1.2</f>
        <v>3.3</v>
      </c>
      <c r="N33" s="304"/>
      <c r="O33"/>
      <c r="P33" s="46" t="s">
        <v>47</v>
      </c>
      <c r="Q33" s="47"/>
      <c r="R33" s="47"/>
      <c r="S33" s="46"/>
      <c r="T33" s="46"/>
      <c r="U33" s="46"/>
      <c r="V33" s="46"/>
    </row>
    <row r="34" spans="1:22" ht="11.25">
      <c r="A34" s="20"/>
      <c r="B34" s="22"/>
      <c r="C34" s="4"/>
      <c r="D34" s="48"/>
      <c r="E34" s="49"/>
      <c r="F34" s="50" t="s">
        <v>44</v>
      </c>
      <c r="G34" s="302">
        <f>1/36*45</f>
        <v>1.25</v>
      </c>
      <c r="H34" s="303"/>
      <c r="I34" s="56"/>
      <c r="J34" s="302">
        <f>0.3/36*45</f>
        <v>0.375</v>
      </c>
      <c r="K34" s="303"/>
      <c r="L34" s="56"/>
      <c r="M34" s="302">
        <f>1/36*45</f>
        <v>1.25</v>
      </c>
      <c r="N34" s="304"/>
      <c r="O34"/>
      <c r="P34" s="46" t="s">
        <v>48</v>
      </c>
      <c r="Q34" s="47"/>
      <c r="R34" s="47"/>
      <c r="S34" s="46"/>
      <c r="T34" s="46"/>
      <c r="U34" s="46"/>
      <c r="V34" s="46"/>
    </row>
    <row r="35" spans="1:22" ht="11.25">
      <c r="A35" s="20"/>
      <c r="B35" s="22"/>
      <c r="C35" s="4"/>
      <c r="D35" s="48"/>
      <c r="E35" s="49"/>
      <c r="F35" s="50" t="s">
        <v>45</v>
      </c>
      <c r="G35" s="307">
        <f>0.5/36*45</f>
        <v>0.625</v>
      </c>
      <c r="H35" s="308"/>
      <c r="I35" s="56"/>
      <c r="J35" s="307">
        <f>0.8/36*45</f>
        <v>1</v>
      </c>
      <c r="K35" s="308"/>
      <c r="L35" s="56"/>
      <c r="M35" s="307">
        <f>0.5/36*45</f>
        <v>0.625</v>
      </c>
      <c r="N35" s="309"/>
      <c r="O35"/>
      <c r="P35" s="46" t="s">
        <v>50</v>
      </c>
      <c r="Q35" s="47"/>
      <c r="R35" s="47"/>
      <c r="S35" s="46"/>
      <c r="T35" s="46"/>
      <c r="U35" s="46"/>
      <c r="V35" s="46"/>
    </row>
    <row r="36" spans="1:22" ht="11.25">
      <c r="A36" s="20"/>
      <c r="B36" s="22"/>
      <c r="C36" s="4"/>
      <c r="D36" s="48"/>
      <c r="E36" s="49"/>
      <c r="F36" s="50" t="s">
        <v>46</v>
      </c>
      <c r="G36" s="305">
        <v>0</v>
      </c>
      <c r="H36" s="305"/>
      <c r="I36" s="56"/>
      <c r="J36" s="305">
        <v>0</v>
      </c>
      <c r="K36" s="305"/>
      <c r="L36" s="56"/>
      <c r="M36" s="305">
        <v>0</v>
      </c>
      <c r="N36" s="306"/>
      <c r="O36"/>
      <c r="P36" s="46" t="s">
        <v>49</v>
      </c>
      <c r="Q36" s="47"/>
      <c r="R36" s="47"/>
      <c r="S36" s="46"/>
      <c r="T36" s="46"/>
      <c r="U36" s="46"/>
      <c r="V36" s="46"/>
    </row>
    <row r="37" spans="1:18" s="69" customFormat="1" ht="11.25">
      <c r="A37" s="64"/>
      <c r="B37" s="65"/>
      <c r="C37" s="66"/>
      <c r="D37" s="66"/>
      <c r="E37" s="5"/>
      <c r="F37" s="67"/>
      <c r="G37" s="70"/>
      <c r="H37" s="70"/>
      <c r="I37" s="68"/>
      <c r="J37" s="70"/>
      <c r="K37" s="70"/>
      <c r="L37" s="68"/>
      <c r="M37" s="70"/>
      <c r="N37" s="71"/>
      <c r="O37" s="12"/>
      <c r="Q37" s="12"/>
      <c r="R37" s="12"/>
    </row>
    <row r="38" spans="1:22" ht="11.25">
      <c r="A38" s="20"/>
      <c r="B38" s="22"/>
      <c r="C38" s="4"/>
      <c r="D38" s="48"/>
      <c r="E38" s="49"/>
      <c r="F38" s="50" t="s">
        <v>66</v>
      </c>
      <c r="G38" s="305">
        <f>373+607</f>
        <v>980</v>
      </c>
      <c r="H38" s="305"/>
      <c r="I38" s="56"/>
      <c r="J38" s="305">
        <f>504+547</f>
        <v>1051</v>
      </c>
      <c r="K38" s="305"/>
      <c r="L38" s="56"/>
      <c r="M38" s="305">
        <f>806+275</f>
        <v>1081</v>
      </c>
      <c r="N38" s="306"/>
      <c r="O38"/>
      <c r="P38" s="46" t="s">
        <v>72</v>
      </c>
      <c r="Q38" s="47"/>
      <c r="R38" s="47"/>
      <c r="S38" s="46"/>
      <c r="T38" s="46"/>
      <c r="U38" s="46"/>
      <c r="V38" s="46"/>
    </row>
    <row r="39" spans="1:22" ht="11.25">
      <c r="A39" s="20"/>
      <c r="B39" s="22"/>
      <c r="C39" s="4"/>
      <c r="D39" s="48"/>
      <c r="E39" s="49"/>
      <c r="F39" s="50" t="s">
        <v>65</v>
      </c>
      <c r="G39" s="299">
        <v>406</v>
      </c>
      <c r="H39" s="300"/>
      <c r="I39" s="56"/>
      <c r="J39" s="299">
        <v>69</v>
      </c>
      <c r="K39" s="300"/>
      <c r="L39" s="56"/>
      <c r="M39" s="299">
        <v>340</v>
      </c>
      <c r="N39" s="301"/>
      <c r="O39"/>
      <c r="P39" s="46" t="s">
        <v>73</v>
      </c>
      <c r="Q39" s="47"/>
      <c r="R39" s="47"/>
      <c r="S39" s="46"/>
      <c r="T39" s="46"/>
      <c r="U39" s="46"/>
      <c r="V39" s="46"/>
    </row>
    <row r="40" spans="1:22" ht="11.25">
      <c r="A40" s="20"/>
      <c r="B40" s="22"/>
      <c r="C40" s="4"/>
      <c r="D40" s="48"/>
      <c r="E40" s="49"/>
      <c r="F40" s="50" t="s">
        <v>67</v>
      </c>
      <c r="G40" s="302">
        <v>137</v>
      </c>
      <c r="H40" s="303"/>
      <c r="I40" s="56"/>
      <c r="J40" s="302">
        <v>288</v>
      </c>
      <c r="K40" s="303"/>
      <c r="L40" s="56"/>
      <c r="M40" s="302">
        <v>93</v>
      </c>
      <c r="N40" s="304"/>
      <c r="O40"/>
      <c r="P40" s="46" t="s">
        <v>75</v>
      </c>
      <c r="Q40" s="47"/>
      <c r="R40" s="47"/>
      <c r="S40" s="46"/>
      <c r="T40" s="46"/>
      <c r="U40" s="46"/>
      <c r="V40" s="46"/>
    </row>
    <row r="41" spans="1:22" ht="11.25">
      <c r="A41" s="20"/>
      <c r="B41" s="22"/>
      <c r="C41" s="4"/>
      <c r="D41" s="48"/>
      <c r="E41" s="49"/>
      <c r="F41" s="50" t="s">
        <v>68</v>
      </c>
      <c r="G41" s="302">
        <v>0</v>
      </c>
      <c r="H41" s="303"/>
      <c r="I41" s="56"/>
      <c r="J41" s="302">
        <v>0</v>
      </c>
      <c r="K41" s="303"/>
      <c r="L41" s="56"/>
      <c r="M41" s="302">
        <v>0</v>
      </c>
      <c r="N41" s="304"/>
      <c r="O41"/>
      <c r="P41" s="46" t="s">
        <v>74</v>
      </c>
      <c r="Q41" s="47"/>
      <c r="R41" s="47"/>
      <c r="S41" s="46"/>
      <c r="T41" s="46"/>
      <c r="U41" s="46"/>
      <c r="V41" s="46"/>
    </row>
    <row r="42" spans="1:18" ht="11.25">
      <c r="A42" s="20"/>
      <c r="B42" s="4"/>
      <c r="C42" s="4"/>
      <c r="D42" s="4"/>
      <c r="E42" s="3"/>
      <c r="F42" s="3"/>
      <c r="G42" s="9"/>
      <c r="H42" s="9"/>
      <c r="I42" s="22"/>
      <c r="J42" s="9"/>
      <c r="K42" s="9"/>
      <c r="L42" s="22"/>
      <c r="M42" s="9"/>
      <c r="N42" s="26"/>
      <c r="O42"/>
      <c r="P42"/>
      <c r="Q42"/>
      <c r="R42"/>
    </row>
    <row r="43" spans="1:18" ht="11.25">
      <c r="A43" s="20"/>
      <c r="B43" s="22"/>
      <c r="C43" s="4"/>
      <c r="D43" s="4"/>
      <c r="E43" s="3"/>
      <c r="F43" s="29" t="s">
        <v>22</v>
      </c>
      <c r="G43" s="302">
        <f>+(G11+G18)/(G33+G34)</f>
        <v>362.8915662650602</v>
      </c>
      <c r="H43" s="303"/>
      <c r="I43" s="22"/>
      <c r="J43" s="302">
        <f>+(J11+J18)/(J33+J34)</f>
        <v>371.6556291390728</v>
      </c>
      <c r="K43" s="303"/>
      <c r="L43" s="22"/>
      <c r="M43" s="302">
        <f>+(M11+M18)/(M33+M34)</f>
        <v>328.7912087912088</v>
      </c>
      <c r="N43" s="303"/>
      <c r="O43"/>
      <c r="P43" t="s">
        <v>32</v>
      </c>
      <c r="Q43"/>
      <c r="R43"/>
    </row>
    <row r="44" spans="1:18" ht="11.25">
      <c r="A44" s="20"/>
      <c r="B44" s="22"/>
      <c r="C44" s="4"/>
      <c r="D44" s="4"/>
      <c r="E44" s="3"/>
      <c r="F44" s="29" t="s">
        <v>216</v>
      </c>
      <c r="G44" s="332">
        <f>(G11+G18)/SUM(G33:H36)</f>
        <v>315.39267015706804</v>
      </c>
      <c r="H44" s="332"/>
      <c r="I44" s="22"/>
      <c r="J44" s="332">
        <f>(J11+J18)/SUM(J33:K36)</f>
        <v>293.82198952879577</v>
      </c>
      <c r="K44" s="332"/>
      <c r="L44" s="22"/>
      <c r="M44" s="332">
        <f>(M11+M18)/SUM(M33:N36)</f>
        <v>289.08212560386477</v>
      </c>
      <c r="N44" s="332"/>
      <c r="O44"/>
      <c r="P44"/>
      <c r="Q44"/>
      <c r="R44"/>
    </row>
    <row r="45" spans="1:17" ht="11.25">
      <c r="A45" s="20"/>
      <c r="B45" s="4"/>
      <c r="C45" s="4"/>
      <c r="D45" s="4"/>
      <c r="E45" s="3"/>
      <c r="F45" s="3"/>
      <c r="G45" s="34" t="s">
        <v>24</v>
      </c>
      <c r="H45" s="34" t="s">
        <v>23</v>
      </c>
      <c r="I45" s="28"/>
      <c r="J45" s="34" t="s">
        <v>24</v>
      </c>
      <c r="K45" s="34" t="s">
        <v>23</v>
      </c>
      <c r="L45" s="28"/>
      <c r="M45" s="34" t="s">
        <v>24</v>
      </c>
      <c r="N45" s="35" t="s">
        <v>23</v>
      </c>
      <c r="O45" s="14"/>
      <c r="P45" s="13"/>
      <c r="Q45" s="31"/>
    </row>
    <row r="46" spans="1:22" ht="11.25">
      <c r="A46" s="20"/>
      <c r="B46" s="4"/>
      <c r="C46" s="4"/>
      <c r="D46" s="52"/>
      <c r="E46" s="53"/>
      <c r="F46" s="54" t="s">
        <v>25</v>
      </c>
      <c r="G46" s="76">
        <v>4</v>
      </c>
      <c r="H46" s="32">
        <f>G46/(G46+G47+G48+G49)</f>
        <v>1</v>
      </c>
      <c r="I46" s="28"/>
      <c r="J46" s="76">
        <v>4</v>
      </c>
      <c r="K46" s="32">
        <f>J46/(J46+J47+J48+J49)</f>
        <v>1</v>
      </c>
      <c r="L46" s="28"/>
      <c r="M46" s="76">
        <v>4</v>
      </c>
      <c r="N46" s="36">
        <f>M46/(M46+M47+M48+M49)</f>
        <v>0.8</v>
      </c>
      <c r="O46" s="14"/>
      <c r="P46" s="55" t="s">
        <v>84</v>
      </c>
      <c r="Q46" s="51"/>
      <c r="R46" s="55"/>
      <c r="S46" s="55"/>
      <c r="T46" s="55"/>
      <c r="U46" s="55"/>
      <c r="V46" s="55"/>
    </row>
    <row r="47" spans="1:22" ht="11.25">
      <c r="A47" s="20"/>
      <c r="B47" s="4"/>
      <c r="C47" s="4"/>
      <c r="D47" s="52"/>
      <c r="E47" s="53"/>
      <c r="F47" s="54" t="s">
        <v>13</v>
      </c>
      <c r="G47" s="76">
        <v>0</v>
      </c>
      <c r="H47" s="32">
        <f>G47/(G46+G47+G48+G49)</f>
        <v>0</v>
      </c>
      <c r="I47" s="28"/>
      <c r="J47" s="76">
        <v>0</v>
      </c>
      <c r="K47" s="32">
        <f>J47/(J46+J47+J48+J49)</f>
        <v>0</v>
      </c>
      <c r="L47" s="28"/>
      <c r="M47" s="76">
        <v>1</v>
      </c>
      <c r="N47" s="36">
        <f>M47/(M46+M47+M48+M49)</f>
        <v>0.2</v>
      </c>
      <c r="O47" s="14"/>
      <c r="P47" s="55" t="s">
        <v>84</v>
      </c>
      <c r="Q47" s="51"/>
      <c r="R47" s="55"/>
      <c r="S47" s="55"/>
      <c r="T47" s="55"/>
      <c r="U47" s="55"/>
      <c r="V47" s="55"/>
    </row>
    <row r="48" spans="1:22" ht="11.25">
      <c r="A48" s="20"/>
      <c r="B48" s="4"/>
      <c r="C48" s="4"/>
      <c r="D48" s="52"/>
      <c r="E48" s="53"/>
      <c r="F48" s="54" t="s">
        <v>51</v>
      </c>
      <c r="G48" s="76">
        <v>0</v>
      </c>
      <c r="H48" s="32">
        <f>G48/(G46+G47+G48+G49)</f>
        <v>0</v>
      </c>
      <c r="I48" s="28"/>
      <c r="J48" s="76">
        <v>0</v>
      </c>
      <c r="K48" s="32">
        <f>J48/(J46+J47+J48+J49)</f>
        <v>0</v>
      </c>
      <c r="L48" s="28"/>
      <c r="M48" s="76">
        <v>0</v>
      </c>
      <c r="N48" s="36">
        <f>M48/(M46+M47+M48+M49)</f>
        <v>0</v>
      </c>
      <c r="O48" s="14"/>
      <c r="P48" s="55" t="s">
        <v>85</v>
      </c>
      <c r="Q48" s="51"/>
      <c r="R48" s="55"/>
      <c r="S48" s="55"/>
      <c r="T48" s="55"/>
      <c r="U48" s="55"/>
      <c r="V48" s="55"/>
    </row>
    <row r="49" spans="1:22" ht="11.25">
      <c r="A49" s="20"/>
      <c r="B49" s="4"/>
      <c r="C49" s="4"/>
      <c r="D49" s="52"/>
      <c r="E49" s="53"/>
      <c r="F49" s="54" t="s">
        <v>52</v>
      </c>
      <c r="G49" s="76">
        <v>0</v>
      </c>
      <c r="H49" s="32">
        <f>G49/(G46+G47+G48+G49)</f>
        <v>0</v>
      </c>
      <c r="I49" s="28"/>
      <c r="J49" s="76">
        <v>0</v>
      </c>
      <c r="K49" s="32">
        <f>J49/(J46+J47+J48+J49)</f>
        <v>0</v>
      </c>
      <c r="L49" s="28"/>
      <c r="M49" s="76">
        <v>0</v>
      </c>
      <c r="N49" s="36">
        <f>M49/(M46+M47+M48+M49)</f>
        <v>0</v>
      </c>
      <c r="O49" s="14"/>
      <c r="P49" s="55" t="s">
        <v>85</v>
      </c>
      <c r="Q49" s="51"/>
      <c r="R49" s="55"/>
      <c r="S49" s="55"/>
      <c r="T49" s="55"/>
      <c r="U49" s="55"/>
      <c r="V49" s="55"/>
    </row>
    <row r="50" spans="1:14" ht="11.25">
      <c r="A50" s="21" t="s">
        <v>4</v>
      </c>
      <c r="B50" s="22"/>
      <c r="C50" s="4"/>
      <c r="D50" s="4"/>
      <c r="E50" s="3"/>
      <c r="F50" s="3"/>
      <c r="G50" s="8"/>
      <c r="H50" s="8"/>
      <c r="I50" s="3"/>
      <c r="J50" s="8"/>
      <c r="K50" s="8"/>
      <c r="L50" s="3"/>
      <c r="M50" s="8"/>
      <c r="N50" s="25"/>
    </row>
    <row r="51" spans="1:16" ht="11.25">
      <c r="A51" s="21"/>
      <c r="B51" s="22"/>
      <c r="C51" s="4"/>
      <c r="D51" s="4"/>
      <c r="E51" s="3"/>
      <c r="F51" s="63" t="s">
        <v>77</v>
      </c>
      <c r="G51" s="293">
        <v>0.934</v>
      </c>
      <c r="H51" s="294"/>
      <c r="I51" s="72"/>
      <c r="J51" s="293">
        <v>0.957</v>
      </c>
      <c r="K51" s="294"/>
      <c r="L51" s="72"/>
      <c r="M51" s="293">
        <v>0.955</v>
      </c>
      <c r="N51" s="295"/>
      <c r="P51" s="10" t="s">
        <v>87</v>
      </c>
    </row>
    <row r="52" spans="1:16" ht="11.25">
      <c r="A52" s="21"/>
      <c r="B52" s="22"/>
      <c r="C52" s="4"/>
      <c r="D52" s="4"/>
      <c r="E52" s="3"/>
      <c r="F52" s="63" t="s">
        <v>76</v>
      </c>
      <c r="G52" s="293">
        <v>0.2</v>
      </c>
      <c r="H52" s="294"/>
      <c r="I52" s="72"/>
      <c r="J52" s="293">
        <v>0.106</v>
      </c>
      <c r="K52" s="294"/>
      <c r="L52" s="72"/>
      <c r="M52" s="293">
        <v>0.189</v>
      </c>
      <c r="N52" s="295"/>
      <c r="P52" s="10" t="s">
        <v>79</v>
      </c>
    </row>
    <row r="53" spans="1:16" ht="11" customHeight="1">
      <c r="A53" s="20"/>
      <c r="B53" s="23"/>
      <c r="C53" s="4"/>
      <c r="D53" s="4"/>
      <c r="E53" s="3"/>
      <c r="F53" s="29" t="s">
        <v>10</v>
      </c>
      <c r="G53" s="296">
        <v>1</v>
      </c>
      <c r="H53" s="297"/>
      <c r="I53" s="3"/>
      <c r="J53" s="296">
        <v>0</v>
      </c>
      <c r="K53" s="297"/>
      <c r="L53" s="3"/>
      <c r="M53" s="296">
        <v>0</v>
      </c>
      <c r="N53" s="298"/>
      <c r="P53" s="10" t="s">
        <v>34</v>
      </c>
    </row>
    <row r="54" spans="1:16" ht="11.25">
      <c r="A54" s="20"/>
      <c r="B54" s="23"/>
      <c r="C54" s="4"/>
      <c r="D54" s="4"/>
      <c r="E54" s="3"/>
      <c r="F54" s="29" t="s">
        <v>8</v>
      </c>
      <c r="G54" s="296">
        <v>13</v>
      </c>
      <c r="H54" s="297"/>
      <c r="I54" s="14"/>
      <c r="J54" s="296">
        <v>12</v>
      </c>
      <c r="K54" s="297"/>
      <c r="L54" s="14"/>
      <c r="M54" s="296">
        <v>9</v>
      </c>
      <c r="N54" s="298"/>
      <c r="P54" s="10" t="s">
        <v>36</v>
      </c>
    </row>
    <row r="55" spans="1:16" ht="11.25">
      <c r="A55" s="20"/>
      <c r="B55" s="23"/>
      <c r="C55" s="4"/>
      <c r="D55" s="4"/>
      <c r="E55" s="3"/>
      <c r="F55" s="42" t="s">
        <v>11</v>
      </c>
      <c r="G55" s="296">
        <v>18.6</v>
      </c>
      <c r="H55" s="297"/>
      <c r="I55" s="3"/>
      <c r="J55" s="296">
        <v>22.8</v>
      </c>
      <c r="K55" s="297"/>
      <c r="L55" s="3"/>
      <c r="M55" s="296">
        <v>22.2</v>
      </c>
      <c r="N55" s="298"/>
      <c r="P55" s="10" t="s">
        <v>42</v>
      </c>
    </row>
    <row r="56" spans="1:19" ht="11.25">
      <c r="A56" s="20"/>
      <c r="B56" s="22"/>
      <c r="C56" s="4"/>
      <c r="D56" s="4"/>
      <c r="E56" s="3"/>
      <c r="F56" s="29" t="s">
        <v>9</v>
      </c>
      <c r="G56" s="293">
        <v>0.3</v>
      </c>
      <c r="H56" s="294"/>
      <c r="I56" s="3"/>
      <c r="J56" s="293">
        <v>0.32</v>
      </c>
      <c r="K56" s="294"/>
      <c r="L56" s="3"/>
      <c r="M56" s="293">
        <v>0.32</v>
      </c>
      <c r="N56" s="295"/>
      <c r="P56" s="10" t="s">
        <v>37</v>
      </c>
      <c r="Q56"/>
      <c r="R56"/>
      <c r="S56"/>
    </row>
    <row r="57" spans="1:19" ht="11.25">
      <c r="A57" s="20"/>
      <c r="B57" s="22"/>
      <c r="C57" s="4"/>
      <c r="D57" s="4"/>
      <c r="E57" s="27"/>
      <c r="F57" s="29" t="s">
        <v>12</v>
      </c>
      <c r="G57" s="296">
        <v>2</v>
      </c>
      <c r="H57" s="297"/>
      <c r="I57" s="28"/>
      <c r="J57" s="296">
        <v>1</v>
      </c>
      <c r="K57" s="297"/>
      <c r="L57" s="28"/>
      <c r="M57" s="296">
        <v>1</v>
      </c>
      <c r="N57" s="298"/>
      <c r="P57" s="10" t="s">
        <v>38</v>
      </c>
      <c r="Q57"/>
      <c r="R57"/>
      <c r="S57"/>
    </row>
    <row r="58" spans="1:19" ht="11.25">
      <c r="A58" s="20"/>
      <c r="B58" s="22"/>
      <c r="C58" s="4"/>
      <c r="D58" s="4"/>
      <c r="E58" s="3"/>
      <c r="F58" s="29" t="s">
        <v>19</v>
      </c>
      <c r="G58" s="293">
        <v>0.346</v>
      </c>
      <c r="H58" s="294"/>
      <c r="I58" s="28"/>
      <c r="J58" s="293">
        <v>0.32</v>
      </c>
      <c r="K58" s="294"/>
      <c r="L58" s="28"/>
      <c r="M58" s="293">
        <v>0.517</v>
      </c>
      <c r="N58" s="295"/>
      <c r="P58" s="10" t="s">
        <v>39</v>
      </c>
      <c r="Q58"/>
      <c r="R58"/>
      <c r="S58"/>
    </row>
    <row r="59" spans="1:19" ht="11.25">
      <c r="A59" s="20"/>
      <c r="B59" s="22"/>
      <c r="C59" s="4"/>
      <c r="D59" s="4"/>
      <c r="E59" s="3"/>
      <c r="F59" s="29" t="s">
        <v>0</v>
      </c>
      <c r="G59" s="293">
        <v>-0.043</v>
      </c>
      <c r="H59" s="294"/>
      <c r="I59" s="28"/>
      <c r="J59" s="293">
        <v>-0.013</v>
      </c>
      <c r="K59" s="294"/>
      <c r="L59" s="28"/>
      <c r="M59" s="293">
        <v>0.014</v>
      </c>
      <c r="N59" s="295"/>
      <c r="P59" s="10" t="s">
        <v>40</v>
      </c>
      <c r="Q59"/>
      <c r="R59"/>
      <c r="S59"/>
    </row>
    <row r="60" spans="1:14" ht="11.25">
      <c r="A60" s="21" t="s">
        <v>1</v>
      </c>
      <c r="B60" s="28"/>
      <c r="C60" s="28"/>
      <c r="D60" s="28"/>
      <c r="E60" s="28"/>
      <c r="F60" s="28"/>
      <c r="G60" s="28"/>
      <c r="H60" s="28"/>
      <c r="I60" s="28"/>
      <c r="J60" s="28"/>
      <c r="K60" s="28"/>
      <c r="L60" s="28"/>
      <c r="M60" s="28"/>
      <c r="N60" s="33"/>
    </row>
    <row r="61" spans="1:16" ht="11.25">
      <c r="A61" s="37" t="s">
        <v>134</v>
      </c>
      <c r="B61" s="28"/>
      <c r="C61" s="28"/>
      <c r="D61" s="28"/>
      <c r="E61" s="28"/>
      <c r="F61" s="28"/>
      <c r="G61" s="28"/>
      <c r="H61" s="28"/>
      <c r="I61" s="28"/>
      <c r="J61" s="28"/>
      <c r="K61" s="28"/>
      <c r="L61" s="28"/>
      <c r="M61" s="28"/>
      <c r="N61" s="33"/>
      <c r="P61" t="s">
        <v>35</v>
      </c>
    </row>
    <row r="62" spans="1:14" ht="11.25">
      <c r="A62" s="38" t="s">
        <v>126</v>
      </c>
      <c r="B62" s="23"/>
      <c r="C62" s="23"/>
      <c r="D62" s="23"/>
      <c r="E62" s="23"/>
      <c r="F62" s="23"/>
      <c r="G62" s="23"/>
      <c r="H62" s="23"/>
      <c r="I62" s="23"/>
      <c r="J62" s="23"/>
      <c r="K62" s="23"/>
      <c r="L62" s="23"/>
      <c r="M62" s="23"/>
      <c r="N62" s="24"/>
    </row>
    <row r="63" spans="1:14" ht="11.25">
      <c r="A63" s="38"/>
      <c r="B63" s="23"/>
      <c r="C63" s="23"/>
      <c r="D63" s="23"/>
      <c r="E63" s="23"/>
      <c r="F63" s="23"/>
      <c r="G63" s="23"/>
      <c r="H63" s="23"/>
      <c r="I63" s="23"/>
      <c r="J63" s="23"/>
      <c r="K63" s="23"/>
      <c r="L63" s="23"/>
      <c r="M63" s="23"/>
      <c r="N63" s="24"/>
    </row>
    <row r="64" spans="1:16" ht="11.25">
      <c r="A64" s="38"/>
      <c r="B64" s="23"/>
      <c r="C64" s="23"/>
      <c r="D64" s="23"/>
      <c r="E64" s="23"/>
      <c r="F64" s="23"/>
      <c r="G64" s="23"/>
      <c r="H64" s="23"/>
      <c r="I64" s="23"/>
      <c r="J64" s="23"/>
      <c r="K64" s="23"/>
      <c r="L64" s="23"/>
      <c r="M64" s="23"/>
      <c r="N64" s="24"/>
      <c r="P64" s="44" t="s">
        <v>41</v>
      </c>
    </row>
    <row r="65" spans="1:14" ht="11.25">
      <c r="A65" s="38"/>
      <c r="B65" s="23"/>
      <c r="C65" s="23"/>
      <c r="D65" s="23"/>
      <c r="E65" s="23"/>
      <c r="F65" s="23"/>
      <c r="G65" s="23"/>
      <c r="H65" s="23"/>
      <c r="I65" s="23"/>
      <c r="J65" s="23"/>
      <c r="K65" s="23"/>
      <c r="L65" s="23"/>
      <c r="M65" s="23"/>
      <c r="N65" s="24"/>
    </row>
    <row r="66" spans="1:14" ht="12.75" thickBot="1">
      <c r="A66" s="39"/>
      <c r="B66" s="40"/>
      <c r="C66" s="40"/>
      <c r="D66" s="40"/>
      <c r="E66" s="40"/>
      <c r="F66" s="40"/>
      <c r="G66" s="40"/>
      <c r="H66" s="40"/>
      <c r="I66" s="40"/>
      <c r="J66" s="40"/>
      <c r="K66" s="40"/>
      <c r="L66" s="40"/>
      <c r="M66" s="40"/>
      <c r="N66" s="41"/>
    </row>
  </sheetData>
  <mergeCells count="122">
    <mergeCell ref="G5:H5"/>
    <mergeCell ref="G6:H6"/>
    <mergeCell ref="G7:H7"/>
    <mergeCell ref="G8:H8"/>
    <mergeCell ref="G9:H9"/>
    <mergeCell ref="J9:K9"/>
    <mergeCell ref="G2:N2"/>
    <mergeCell ref="G3:H3"/>
    <mergeCell ref="J3:K3"/>
    <mergeCell ref="M3:N3"/>
    <mergeCell ref="G4:H4"/>
    <mergeCell ref="J4:K4"/>
    <mergeCell ref="M4:N4"/>
    <mergeCell ref="G13:H13"/>
    <mergeCell ref="J13:K13"/>
    <mergeCell ref="M13:N13"/>
    <mergeCell ref="G14:H14"/>
    <mergeCell ref="J14:K14"/>
    <mergeCell ref="M14:N14"/>
    <mergeCell ref="M9:N9"/>
    <mergeCell ref="G11:H11"/>
    <mergeCell ref="J11:K11"/>
    <mergeCell ref="M11:N11"/>
    <mergeCell ref="G12:H12"/>
    <mergeCell ref="J12:K12"/>
    <mergeCell ref="M12:N12"/>
    <mergeCell ref="G18:H18"/>
    <mergeCell ref="J18:K18"/>
    <mergeCell ref="M18:N18"/>
    <mergeCell ref="G19:H19"/>
    <mergeCell ref="J19:K19"/>
    <mergeCell ref="M19:N19"/>
    <mergeCell ref="G15:H15"/>
    <mergeCell ref="J15:K15"/>
    <mergeCell ref="M15:N15"/>
    <mergeCell ref="G16:H16"/>
    <mergeCell ref="J16:K16"/>
    <mergeCell ref="M16:N16"/>
    <mergeCell ref="G22:H22"/>
    <mergeCell ref="J22:K22"/>
    <mergeCell ref="M22:N22"/>
    <mergeCell ref="G24:H24"/>
    <mergeCell ref="J24:K24"/>
    <mergeCell ref="M24:N24"/>
    <mergeCell ref="G20:H20"/>
    <mergeCell ref="J20:K20"/>
    <mergeCell ref="M20:N20"/>
    <mergeCell ref="G21:H21"/>
    <mergeCell ref="J21:K21"/>
    <mergeCell ref="M21:N21"/>
    <mergeCell ref="G28:H28"/>
    <mergeCell ref="J28:K28"/>
    <mergeCell ref="M28:N28"/>
    <mergeCell ref="G29:H29"/>
    <mergeCell ref="J29:K29"/>
    <mergeCell ref="M29:N29"/>
    <mergeCell ref="G25:H25"/>
    <mergeCell ref="J25:K25"/>
    <mergeCell ref="M25:N25"/>
    <mergeCell ref="G27:H27"/>
    <mergeCell ref="J27:K27"/>
    <mergeCell ref="M27:N27"/>
    <mergeCell ref="G34:H34"/>
    <mergeCell ref="J34:K34"/>
    <mergeCell ref="M34:N34"/>
    <mergeCell ref="G35:H35"/>
    <mergeCell ref="J35:K35"/>
    <mergeCell ref="M35:N35"/>
    <mergeCell ref="G31:H31"/>
    <mergeCell ref="J31:K31"/>
    <mergeCell ref="M31:N31"/>
    <mergeCell ref="G33:H33"/>
    <mergeCell ref="J33:K33"/>
    <mergeCell ref="M33:N33"/>
    <mergeCell ref="G39:H39"/>
    <mergeCell ref="J39:K39"/>
    <mergeCell ref="M39:N39"/>
    <mergeCell ref="G40:H40"/>
    <mergeCell ref="J40:K40"/>
    <mergeCell ref="M40:N40"/>
    <mergeCell ref="G36:H36"/>
    <mergeCell ref="J36:K36"/>
    <mergeCell ref="M36:N36"/>
    <mergeCell ref="G38:H38"/>
    <mergeCell ref="J38:K38"/>
    <mergeCell ref="M38:N38"/>
    <mergeCell ref="G51:H51"/>
    <mergeCell ref="J51:K51"/>
    <mergeCell ref="M51:N51"/>
    <mergeCell ref="G52:H52"/>
    <mergeCell ref="J52:K52"/>
    <mergeCell ref="M52:N52"/>
    <mergeCell ref="G41:H41"/>
    <mergeCell ref="J41:K41"/>
    <mergeCell ref="M41:N41"/>
    <mergeCell ref="G43:H43"/>
    <mergeCell ref="J43:K43"/>
    <mergeCell ref="M43:N43"/>
    <mergeCell ref="G59:H59"/>
    <mergeCell ref="J59:K59"/>
    <mergeCell ref="M59:N59"/>
    <mergeCell ref="G44:H44"/>
    <mergeCell ref="J44:K44"/>
    <mergeCell ref="M44:N44"/>
    <mergeCell ref="G57:H57"/>
    <mergeCell ref="J57:K57"/>
    <mergeCell ref="M57:N57"/>
    <mergeCell ref="G58:H58"/>
    <mergeCell ref="J58:K58"/>
    <mergeCell ref="M58:N58"/>
    <mergeCell ref="G55:H55"/>
    <mergeCell ref="J55:K55"/>
    <mergeCell ref="M55:N55"/>
    <mergeCell ref="G56:H56"/>
    <mergeCell ref="J56:K56"/>
    <mergeCell ref="M56:N56"/>
    <mergeCell ref="G53:H53"/>
    <mergeCell ref="J53:K53"/>
    <mergeCell ref="M53:N53"/>
    <mergeCell ref="G54:H54"/>
    <mergeCell ref="J54:K54"/>
    <mergeCell ref="M54:N54"/>
  </mergeCells>
  <printOptions/>
  <pageMargins left="0.25" right="0.25" top="0.75" bottom="0.75" header="0.3" footer="0.3"/>
  <pageSetup fitToHeight="1" fitToWidth="1" horizontalDpi="1200" verticalDpi="1200" orientation="portrait" scale="94" r:id="rId3"/>
  <colBreaks count="1" manualBreakCount="1">
    <brk id="14" max="16383" man="1"/>
  </colBreaks>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V66"/>
  <sheetViews>
    <sheetView showGridLines="0" workbookViewId="0" topLeftCell="A10">
      <selection activeCell="M43" sqref="M43:N43"/>
    </sheetView>
  </sheetViews>
  <sheetFormatPr defaultColWidth="9.00390625" defaultRowHeight="11.25"/>
  <cols>
    <col min="1" max="1" width="4.625" style="1" customWidth="1"/>
    <col min="2" max="5" width="9.00390625" style="1" customWidth="1"/>
    <col min="6" max="6" width="7.125" style="1" customWidth="1"/>
    <col min="7" max="8" width="9.125" style="1" customWidth="1"/>
    <col min="9" max="9" width="1.75390625" style="1" customWidth="1"/>
    <col min="10" max="11" width="9.125" style="1" customWidth="1"/>
    <col min="12" max="12" width="1.75390625" style="1" customWidth="1"/>
    <col min="13" max="14" width="9.125" style="1" customWidth="1"/>
    <col min="15" max="15" width="3.75390625" style="10" customWidth="1"/>
    <col min="16" max="16384" width="9.00390625" style="10" customWidth="1"/>
  </cols>
  <sheetData>
    <row r="1" spans="1:14" s="12" customFormat="1" ht="11.25">
      <c r="A1" s="17" t="s">
        <v>88</v>
      </c>
      <c r="B1" s="18"/>
      <c r="C1" s="18"/>
      <c r="D1" s="18"/>
      <c r="E1" s="18"/>
      <c r="F1" s="18"/>
      <c r="G1" s="18"/>
      <c r="H1" s="18"/>
      <c r="I1" s="18"/>
      <c r="J1" s="18"/>
      <c r="K1" s="18"/>
      <c r="L1" s="18"/>
      <c r="M1" s="18"/>
      <c r="N1" s="19"/>
    </row>
    <row r="2" spans="1:16" s="12" customFormat="1" ht="11.25">
      <c r="A2" s="20" t="s">
        <v>89</v>
      </c>
      <c r="B2" s="15"/>
      <c r="C2" s="15"/>
      <c r="D2" s="15"/>
      <c r="E2" s="15"/>
      <c r="F2" s="15"/>
      <c r="G2" s="328" t="s">
        <v>26</v>
      </c>
      <c r="H2" s="328"/>
      <c r="I2" s="328"/>
      <c r="J2" s="328"/>
      <c r="K2" s="328"/>
      <c r="L2" s="328"/>
      <c r="M2" s="328"/>
      <c r="N2" s="329"/>
      <c r="P2" s="43" t="s">
        <v>27</v>
      </c>
    </row>
    <row r="3" spans="1:14" ht="11.25">
      <c r="A3" s="45"/>
      <c r="B3" s="2"/>
      <c r="C3" s="2"/>
      <c r="D3" s="2"/>
      <c r="E3" s="2"/>
      <c r="F3" s="16" t="s">
        <v>14</v>
      </c>
      <c r="G3" s="330">
        <v>19</v>
      </c>
      <c r="H3" s="327"/>
      <c r="I3" s="2"/>
      <c r="J3" s="330">
        <v>18</v>
      </c>
      <c r="K3" s="327"/>
      <c r="L3" s="2"/>
      <c r="M3" s="330">
        <v>17</v>
      </c>
      <c r="N3" s="331"/>
    </row>
    <row r="4" spans="1:14" ht="11.25">
      <c r="A4" s="20"/>
      <c r="B4" s="2"/>
      <c r="C4" s="2"/>
      <c r="D4" s="2"/>
      <c r="E4" s="2"/>
      <c r="F4" s="16" t="s">
        <v>15</v>
      </c>
      <c r="G4" s="330" t="s">
        <v>80</v>
      </c>
      <c r="H4" s="327"/>
      <c r="I4" s="2"/>
      <c r="J4" s="330" t="s">
        <v>81</v>
      </c>
      <c r="K4" s="327"/>
      <c r="L4" s="2"/>
      <c r="M4" s="330" t="s">
        <v>82</v>
      </c>
      <c r="N4" s="331"/>
    </row>
    <row r="5" spans="1:14" ht="11.25">
      <c r="A5" s="20"/>
      <c r="B5" s="2"/>
      <c r="C5" s="2"/>
      <c r="D5" s="2"/>
      <c r="E5" s="2"/>
      <c r="F5" s="16" t="s">
        <v>16</v>
      </c>
      <c r="G5" s="321" t="s">
        <v>102</v>
      </c>
      <c r="H5" s="322"/>
      <c r="I5" s="2"/>
      <c r="J5" s="28"/>
      <c r="K5" s="28"/>
      <c r="L5" s="28"/>
      <c r="M5" s="28"/>
      <c r="N5" s="33"/>
    </row>
    <row r="6" spans="1:14" ht="11.25">
      <c r="A6" s="20"/>
      <c r="B6" s="2"/>
      <c r="C6" s="2"/>
      <c r="D6" s="2"/>
      <c r="E6" s="2"/>
      <c r="F6" s="16" t="s">
        <v>17</v>
      </c>
      <c r="G6" s="323" t="s">
        <v>135</v>
      </c>
      <c r="H6" s="323"/>
      <c r="I6" s="2"/>
      <c r="J6" s="28"/>
      <c r="K6" s="28"/>
      <c r="L6" s="28"/>
      <c r="M6" s="28"/>
      <c r="N6" s="33"/>
    </row>
    <row r="7" spans="1:14" ht="11.25">
      <c r="A7" s="20"/>
      <c r="B7" s="2"/>
      <c r="C7" s="2"/>
      <c r="D7" s="2"/>
      <c r="E7" s="2"/>
      <c r="F7" s="16" t="s">
        <v>33</v>
      </c>
      <c r="G7" s="324" t="s">
        <v>101</v>
      </c>
      <c r="H7" s="325"/>
      <c r="I7" s="2"/>
      <c r="J7" s="28"/>
      <c r="K7" s="28"/>
      <c r="L7" s="28"/>
      <c r="M7" s="28"/>
      <c r="N7" s="33"/>
    </row>
    <row r="8" spans="1:14" ht="11.25">
      <c r="A8" s="20"/>
      <c r="B8" s="2"/>
      <c r="C8" s="2"/>
      <c r="D8" s="2"/>
      <c r="E8" s="2"/>
      <c r="F8" s="16" t="s">
        <v>18</v>
      </c>
      <c r="G8" s="326">
        <v>43923</v>
      </c>
      <c r="H8" s="327"/>
      <c r="I8" s="2"/>
      <c r="J8" s="28"/>
      <c r="K8" s="28"/>
      <c r="L8" s="28"/>
      <c r="M8" s="28"/>
      <c r="N8" s="33"/>
    </row>
    <row r="9" spans="1:14" ht="12.75">
      <c r="A9" s="21" t="s">
        <v>2</v>
      </c>
      <c r="B9" s="22"/>
      <c r="C9" s="4"/>
      <c r="D9" s="4"/>
      <c r="E9" s="3"/>
      <c r="F9" s="3"/>
      <c r="G9" s="319"/>
      <c r="H9" s="319"/>
      <c r="I9" s="3"/>
      <c r="J9" s="319"/>
      <c r="K9" s="319"/>
      <c r="L9" s="3"/>
      <c r="M9" s="319"/>
      <c r="N9" s="320"/>
    </row>
    <row r="10" spans="1:15" ht="12.75">
      <c r="A10" s="20"/>
      <c r="B10" s="22" t="s">
        <v>56</v>
      </c>
      <c r="C10" s="4"/>
      <c r="D10" s="4"/>
      <c r="E10" s="3"/>
      <c r="F10" s="29"/>
      <c r="G10" s="58"/>
      <c r="H10" s="58"/>
      <c r="I10" s="5"/>
      <c r="J10" s="58"/>
      <c r="K10" s="58"/>
      <c r="L10" s="5"/>
      <c r="M10" s="58"/>
      <c r="N10" s="59"/>
      <c r="O10" s="11"/>
    </row>
    <row r="11" spans="1:16" ht="11.25">
      <c r="A11" s="20"/>
      <c r="B11" s="22"/>
      <c r="C11" s="6"/>
      <c r="D11" s="6"/>
      <c r="E11" s="7"/>
      <c r="F11" s="30" t="s">
        <v>7</v>
      </c>
      <c r="G11" s="313">
        <v>7294</v>
      </c>
      <c r="H11" s="314"/>
      <c r="I11" s="5"/>
      <c r="J11" s="313">
        <v>7838</v>
      </c>
      <c r="K11" s="314"/>
      <c r="L11" s="5"/>
      <c r="M11" s="313">
        <v>8305</v>
      </c>
      <c r="N11" s="315"/>
      <c r="P11" s="10" t="s">
        <v>28</v>
      </c>
    </row>
    <row r="12" spans="1:16" ht="12.75">
      <c r="A12" s="20"/>
      <c r="B12" s="22"/>
      <c r="C12" s="4"/>
      <c r="D12" s="4"/>
      <c r="E12" s="3"/>
      <c r="F12" s="29" t="s">
        <v>5</v>
      </c>
      <c r="G12" s="316">
        <v>-0.063</v>
      </c>
      <c r="H12" s="317"/>
      <c r="I12" s="5"/>
      <c r="J12" s="316">
        <v>-0.083</v>
      </c>
      <c r="K12" s="317"/>
      <c r="L12" s="5"/>
      <c r="M12" s="316">
        <v>-0.013</v>
      </c>
      <c r="N12" s="318"/>
      <c r="O12" s="11"/>
      <c r="P12" s="10" t="s">
        <v>29</v>
      </c>
    </row>
    <row r="13" spans="1:16" ht="12.75">
      <c r="A13" s="20"/>
      <c r="B13" s="22"/>
      <c r="C13" s="4"/>
      <c r="D13" s="4"/>
      <c r="E13" s="3"/>
      <c r="F13" s="29" t="s">
        <v>53</v>
      </c>
      <c r="G13" s="313">
        <v>4</v>
      </c>
      <c r="H13" s="314"/>
      <c r="I13" s="5"/>
      <c r="J13" s="313">
        <v>4</v>
      </c>
      <c r="K13" s="314"/>
      <c r="L13" s="5"/>
      <c r="M13" s="313">
        <v>4</v>
      </c>
      <c r="N13" s="315"/>
      <c r="O13" s="11"/>
      <c r="P13" s="10" t="s">
        <v>71</v>
      </c>
    </row>
    <row r="14" spans="1:16" ht="12.75">
      <c r="A14" s="20"/>
      <c r="B14" s="22"/>
      <c r="C14" s="4"/>
      <c r="D14" s="4"/>
      <c r="E14" s="3"/>
      <c r="F14" s="29" t="s">
        <v>54</v>
      </c>
      <c r="G14" s="313">
        <f>2+6+44+23</f>
        <v>75</v>
      </c>
      <c r="H14" s="314"/>
      <c r="I14" s="5"/>
      <c r="J14" s="313">
        <f>2+4+45+30</f>
        <v>81</v>
      </c>
      <c r="K14" s="314"/>
      <c r="L14" s="5"/>
      <c r="M14" s="313">
        <f>2+5+39+39</f>
        <v>85</v>
      </c>
      <c r="N14" s="315"/>
      <c r="O14" s="11"/>
      <c r="P14" s="10" t="s">
        <v>70</v>
      </c>
    </row>
    <row r="15" spans="1:16" ht="12.75">
      <c r="A15" s="20"/>
      <c r="B15" s="22"/>
      <c r="C15" s="4"/>
      <c r="D15" s="4"/>
      <c r="E15" s="3"/>
      <c r="F15" s="29" t="s">
        <v>55</v>
      </c>
      <c r="G15" s="313">
        <f>3+56+2+8</f>
        <v>69</v>
      </c>
      <c r="H15" s="314"/>
      <c r="I15" s="5"/>
      <c r="J15" s="313">
        <f>3+47+8</f>
        <v>58</v>
      </c>
      <c r="K15" s="314"/>
      <c r="L15" s="5"/>
      <c r="M15" s="313">
        <f>42+11</f>
        <v>53</v>
      </c>
      <c r="N15" s="315"/>
      <c r="O15" s="11"/>
      <c r="P15" s="10" t="s">
        <v>69</v>
      </c>
    </row>
    <row r="16" spans="1:16" ht="12.75">
      <c r="A16" s="20"/>
      <c r="B16" s="22"/>
      <c r="C16" s="4"/>
      <c r="D16" s="4"/>
      <c r="E16" s="3"/>
      <c r="F16" s="29" t="s">
        <v>78</v>
      </c>
      <c r="G16" s="313">
        <v>20</v>
      </c>
      <c r="H16" s="314"/>
      <c r="I16" s="5"/>
      <c r="J16" s="313">
        <v>12</v>
      </c>
      <c r="K16" s="314"/>
      <c r="L16" s="5"/>
      <c r="M16" s="313">
        <v>23</v>
      </c>
      <c r="N16" s="315"/>
      <c r="O16" s="11"/>
      <c r="P16" s="10" t="s">
        <v>86</v>
      </c>
    </row>
    <row r="17" spans="1:15" ht="12.75">
      <c r="A17" s="20"/>
      <c r="B17" s="22" t="s">
        <v>57</v>
      </c>
      <c r="C17" s="4"/>
      <c r="D17" s="4"/>
      <c r="E17" s="3"/>
      <c r="F17" s="29"/>
      <c r="G17" s="58"/>
      <c r="H17" s="58"/>
      <c r="I17" s="5"/>
      <c r="J17" s="58"/>
      <c r="K17" s="58"/>
      <c r="L17" s="5"/>
      <c r="M17" s="58"/>
      <c r="N17" s="59"/>
      <c r="O17" s="11"/>
    </row>
    <row r="18" spans="1:16" ht="11.25">
      <c r="A18" s="20"/>
      <c r="B18" s="22"/>
      <c r="C18" s="6"/>
      <c r="D18" s="6"/>
      <c r="E18" s="7"/>
      <c r="F18" s="30" t="s">
        <v>7</v>
      </c>
      <c r="G18" s="313"/>
      <c r="H18" s="314"/>
      <c r="I18" s="5"/>
      <c r="J18" s="313"/>
      <c r="K18" s="314"/>
      <c r="L18" s="5"/>
      <c r="M18" s="313"/>
      <c r="N18" s="315"/>
      <c r="P18" s="10" t="s">
        <v>28</v>
      </c>
    </row>
    <row r="19" spans="1:16" ht="12.75">
      <c r="A19" s="20"/>
      <c r="B19" s="22"/>
      <c r="C19" s="4"/>
      <c r="D19" s="4"/>
      <c r="E19" s="3"/>
      <c r="F19" s="29" t="s">
        <v>5</v>
      </c>
      <c r="G19" s="316"/>
      <c r="H19" s="317"/>
      <c r="I19" s="5"/>
      <c r="J19" s="316"/>
      <c r="K19" s="317"/>
      <c r="L19" s="5"/>
      <c r="M19" s="316"/>
      <c r="N19" s="318"/>
      <c r="O19" s="11"/>
      <c r="P19" s="10" t="s">
        <v>29</v>
      </c>
    </row>
    <row r="20" spans="1:16" ht="12.75">
      <c r="A20" s="20"/>
      <c r="B20" s="22"/>
      <c r="C20" s="4"/>
      <c r="D20" s="4"/>
      <c r="E20" s="3"/>
      <c r="F20" s="29" t="s">
        <v>58</v>
      </c>
      <c r="G20" s="313"/>
      <c r="H20" s="314"/>
      <c r="I20" s="5"/>
      <c r="J20" s="313"/>
      <c r="K20" s="314"/>
      <c r="L20" s="5"/>
      <c r="M20" s="313"/>
      <c r="N20" s="315"/>
      <c r="O20" s="11"/>
      <c r="P20" s="10" t="s">
        <v>71</v>
      </c>
    </row>
    <row r="21" spans="1:16" ht="12.75">
      <c r="A21" s="20"/>
      <c r="B21" s="22"/>
      <c r="C21" s="4"/>
      <c r="D21" s="4"/>
      <c r="E21" s="3"/>
      <c r="F21" s="29" t="s">
        <v>59</v>
      </c>
      <c r="G21" s="313"/>
      <c r="H21" s="314"/>
      <c r="I21" s="5"/>
      <c r="J21" s="313"/>
      <c r="K21" s="314"/>
      <c r="L21" s="5"/>
      <c r="M21" s="313"/>
      <c r="N21" s="315"/>
      <c r="O21" s="11"/>
      <c r="P21" s="10" t="s">
        <v>83</v>
      </c>
    </row>
    <row r="22" spans="1:16" ht="12.75">
      <c r="A22" s="20"/>
      <c r="B22" s="22"/>
      <c r="C22" s="4"/>
      <c r="D22" s="4"/>
      <c r="E22" s="3"/>
      <c r="F22" s="29" t="s">
        <v>78</v>
      </c>
      <c r="G22" s="313"/>
      <c r="H22" s="314"/>
      <c r="I22" s="5"/>
      <c r="J22" s="313"/>
      <c r="K22" s="314"/>
      <c r="L22" s="5"/>
      <c r="M22" s="313"/>
      <c r="N22" s="315"/>
      <c r="O22" s="11"/>
      <c r="P22" s="10" t="s">
        <v>86</v>
      </c>
    </row>
    <row r="23" spans="1:14" ht="11.25">
      <c r="A23" s="20"/>
      <c r="B23" s="4" t="s">
        <v>6</v>
      </c>
      <c r="C23" s="4"/>
      <c r="D23" s="4"/>
      <c r="E23" s="3"/>
      <c r="F23" s="3"/>
      <c r="G23" s="23"/>
      <c r="H23" s="23"/>
      <c r="I23" s="5"/>
      <c r="J23" s="23"/>
      <c r="K23" s="23"/>
      <c r="L23" s="5"/>
      <c r="M23" s="23"/>
      <c r="N23" s="24"/>
    </row>
    <row r="24" spans="1:16" ht="11.25">
      <c r="A24" s="20"/>
      <c r="B24" s="22"/>
      <c r="C24" s="4"/>
      <c r="D24" s="4"/>
      <c r="E24" s="3"/>
      <c r="F24" s="29" t="s">
        <v>20</v>
      </c>
      <c r="G24" s="293">
        <v>0.167</v>
      </c>
      <c r="H24" s="294"/>
      <c r="I24" s="3"/>
      <c r="J24" s="293">
        <v>0.157</v>
      </c>
      <c r="K24" s="294"/>
      <c r="L24" s="3"/>
      <c r="M24" s="293">
        <v>0.148</v>
      </c>
      <c r="N24" s="295"/>
      <c r="P24" s="10" t="s">
        <v>30</v>
      </c>
    </row>
    <row r="25" spans="1:16" ht="11.25">
      <c r="A25" s="20"/>
      <c r="B25" s="22"/>
      <c r="C25" s="4"/>
      <c r="D25" s="4"/>
      <c r="E25" s="3"/>
      <c r="F25" s="29" t="s">
        <v>21</v>
      </c>
      <c r="G25" s="293">
        <v>0.833</v>
      </c>
      <c r="H25" s="294"/>
      <c r="I25" s="3"/>
      <c r="J25" s="293">
        <v>0.843</v>
      </c>
      <c r="K25" s="294"/>
      <c r="L25" s="3"/>
      <c r="M25" s="293">
        <v>0.852</v>
      </c>
      <c r="N25" s="295"/>
      <c r="P25" s="10" t="s">
        <v>31</v>
      </c>
    </row>
    <row r="26" spans="1:14" ht="11.25">
      <c r="A26" s="62" t="s">
        <v>60</v>
      </c>
      <c r="B26" s="22"/>
      <c r="C26" s="4"/>
      <c r="D26" s="4"/>
      <c r="E26" s="3"/>
      <c r="F26" s="29"/>
      <c r="G26" s="60"/>
      <c r="H26" s="60"/>
      <c r="I26" s="5"/>
      <c r="J26" s="60"/>
      <c r="K26" s="60"/>
      <c r="L26" s="5"/>
      <c r="M26" s="60"/>
      <c r="N26" s="61"/>
    </row>
    <row r="27" spans="1:16" ht="11.25">
      <c r="A27" s="20"/>
      <c r="B27" s="22"/>
      <c r="C27" s="4"/>
      <c r="D27" s="4"/>
      <c r="E27" s="3"/>
      <c r="F27" s="29" t="s">
        <v>61</v>
      </c>
      <c r="G27" s="313">
        <f>721874.46-G28+28855.8</f>
        <v>714092.9</v>
      </c>
      <c r="H27" s="314"/>
      <c r="I27" s="5"/>
      <c r="J27" s="313">
        <f>657998.1-J28+24518.51+3648</f>
        <v>655417.0599999999</v>
      </c>
      <c r="K27" s="314"/>
      <c r="L27" s="5"/>
      <c r="M27" s="313">
        <f>23566.56-M28+708689.09</f>
        <v>699920.64</v>
      </c>
      <c r="N27" s="315"/>
      <c r="P27" s="10" t="s">
        <v>91</v>
      </c>
    </row>
    <row r="28" spans="1:16" ht="11.25">
      <c r="A28" s="20"/>
      <c r="B28" s="22"/>
      <c r="C28" s="4"/>
      <c r="D28" s="4"/>
      <c r="E28" s="3"/>
      <c r="F28" s="29" t="s">
        <v>62</v>
      </c>
      <c r="G28" s="313">
        <v>36637.36</v>
      </c>
      <c r="H28" s="314"/>
      <c r="I28" s="5"/>
      <c r="J28" s="313">
        <v>30747.55</v>
      </c>
      <c r="K28" s="314"/>
      <c r="L28" s="5"/>
      <c r="M28" s="313">
        <v>32335.01</v>
      </c>
      <c r="N28" s="315"/>
      <c r="P28" s="10" t="s">
        <v>91</v>
      </c>
    </row>
    <row r="29" spans="1:16" ht="11.25">
      <c r="A29" s="20"/>
      <c r="B29" s="22"/>
      <c r="C29" s="4"/>
      <c r="D29" s="4"/>
      <c r="E29" s="3"/>
      <c r="F29" s="29" t="s">
        <v>63</v>
      </c>
      <c r="G29" s="310">
        <v>223294.77</v>
      </c>
      <c r="H29" s="311"/>
      <c r="I29" s="5"/>
      <c r="J29" s="310">
        <v>211409.12</v>
      </c>
      <c r="K29" s="311"/>
      <c r="L29" s="5"/>
      <c r="M29" s="310">
        <v>223294.77</v>
      </c>
      <c r="N29" s="312"/>
      <c r="P29" s="10" t="s">
        <v>90</v>
      </c>
    </row>
    <row r="30" spans="1:14" ht="11.25">
      <c r="A30" s="20"/>
      <c r="B30" s="22"/>
      <c r="C30" s="4"/>
      <c r="D30" s="4"/>
      <c r="E30" s="3"/>
      <c r="F30" s="29"/>
      <c r="G30" s="73"/>
      <c r="H30" s="74"/>
      <c r="I30" s="5"/>
      <c r="J30" s="73"/>
      <c r="K30" s="74"/>
      <c r="L30" s="5"/>
      <c r="M30" s="73"/>
      <c r="N30" s="75"/>
    </row>
    <row r="31" spans="1:18" ht="11.25">
      <c r="A31" s="20"/>
      <c r="B31" s="4"/>
      <c r="C31" s="4"/>
      <c r="D31" s="4"/>
      <c r="E31" s="3"/>
      <c r="F31" s="63" t="s">
        <v>64</v>
      </c>
      <c r="G31" s="299">
        <f>(SUM(G27:G29))/(G11+G18)</f>
        <v>133.5378434329586</v>
      </c>
      <c r="H31" s="300"/>
      <c r="I31" s="22"/>
      <c r="J31" s="299">
        <f>SUM(J27:K29)/(J11+J18)</f>
        <v>114.51565833120694</v>
      </c>
      <c r="K31" s="300"/>
      <c r="L31" s="22"/>
      <c r="M31" s="299">
        <f>SUM(M27:N29)/(M11+M18)</f>
        <v>115.0572450331126</v>
      </c>
      <c r="N31" s="301"/>
      <c r="O31"/>
      <c r="P31" t="s">
        <v>32</v>
      </c>
      <c r="Q31"/>
      <c r="R31"/>
    </row>
    <row r="32" spans="1:14" ht="11.25">
      <c r="A32" s="21" t="s">
        <v>3</v>
      </c>
      <c r="B32" s="22"/>
      <c r="C32" s="4"/>
      <c r="D32" s="4"/>
      <c r="E32" s="3"/>
      <c r="F32" s="3"/>
      <c r="G32" s="8"/>
      <c r="H32" s="8"/>
      <c r="I32" s="3"/>
      <c r="J32" s="8"/>
      <c r="K32" s="8"/>
      <c r="L32" s="3"/>
      <c r="M32" s="8"/>
      <c r="N32" s="25"/>
    </row>
    <row r="33" spans="1:22" ht="11.25">
      <c r="A33" s="20"/>
      <c r="B33" s="22"/>
      <c r="C33" s="4"/>
      <c r="D33" s="48"/>
      <c r="E33" s="49"/>
      <c r="F33" s="50" t="s">
        <v>43</v>
      </c>
      <c r="G33" s="302">
        <f>1.7+0.7</f>
        <v>2.4</v>
      </c>
      <c r="H33" s="303"/>
      <c r="I33" s="56"/>
      <c r="J33" s="302">
        <v>2.5</v>
      </c>
      <c r="K33" s="303"/>
      <c r="L33" s="56"/>
      <c r="M33" s="302">
        <f>2.1+0.7</f>
        <v>2.8</v>
      </c>
      <c r="N33" s="304"/>
      <c r="O33"/>
      <c r="P33" s="46" t="s">
        <v>47</v>
      </c>
      <c r="Q33" s="47"/>
      <c r="R33" s="47"/>
      <c r="S33" s="46"/>
      <c r="T33" s="46"/>
      <c r="U33" s="46"/>
      <c r="V33" s="46"/>
    </row>
    <row r="34" spans="1:22" ht="11.25">
      <c r="A34" s="20"/>
      <c r="B34" s="22"/>
      <c r="C34" s="4"/>
      <c r="D34" s="48"/>
      <c r="E34" s="49"/>
      <c r="F34" s="50" t="s">
        <v>44</v>
      </c>
      <c r="G34" s="302">
        <f>1.8/36*45</f>
        <v>2.25</v>
      </c>
      <c r="H34" s="303"/>
      <c r="I34" s="56"/>
      <c r="J34" s="302">
        <f>0.8/36*45</f>
        <v>1</v>
      </c>
      <c r="K34" s="303"/>
      <c r="L34" s="56"/>
      <c r="M34" s="302">
        <f>1.8/36*45</f>
        <v>2.25</v>
      </c>
      <c r="N34" s="304"/>
      <c r="O34"/>
      <c r="P34" s="46" t="s">
        <v>48</v>
      </c>
      <c r="Q34" s="47"/>
      <c r="R34" s="47"/>
      <c r="S34" s="46"/>
      <c r="T34" s="46"/>
      <c r="U34" s="46"/>
      <c r="V34" s="46"/>
    </row>
    <row r="35" spans="1:22" ht="11.25">
      <c r="A35" s="20"/>
      <c r="B35" s="22"/>
      <c r="C35" s="4"/>
      <c r="D35" s="48"/>
      <c r="E35" s="49"/>
      <c r="F35" s="50" t="s">
        <v>45</v>
      </c>
      <c r="G35" s="307">
        <f>0.8/36*45</f>
        <v>1</v>
      </c>
      <c r="H35" s="308"/>
      <c r="I35" s="56"/>
      <c r="J35" s="307">
        <f>1.4/36*45</f>
        <v>1.75</v>
      </c>
      <c r="K35" s="308"/>
      <c r="L35" s="56"/>
      <c r="M35" s="307">
        <f>0.6/36*45</f>
        <v>0.75</v>
      </c>
      <c r="N35" s="309"/>
      <c r="O35"/>
      <c r="P35" s="46" t="s">
        <v>50</v>
      </c>
      <c r="Q35" s="47"/>
      <c r="R35" s="47"/>
      <c r="S35" s="46"/>
      <c r="T35" s="46"/>
      <c r="U35" s="46"/>
      <c r="V35" s="46"/>
    </row>
    <row r="36" spans="1:22" ht="11.25">
      <c r="A36" s="20"/>
      <c r="B36" s="22"/>
      <c r="C36" s="4"/>
      <c r="D36" s="48"/>
      <c r="E36" s="49"/>
      <c r="F36" s="50" t="s">
        <v>46</v>
      </c>
      <c r="G36" s="305">
        <v>0</v>
      </c>
      <c r="H36" s="305"/>
      <c r="I36" s="56"/>
      <c r="J36" s="305">
        <v>0</v>
      </c>
      <c r="K36" s="305"/>
      <c r="L36" s="56"/>
      <c r="M36" s="305">
        <v>0</v>
      </c>
      <c r="N36" s="306"/>
      <c r="O36"/>
      <c r="P36" s="46" t="s">
        <v>49</v>
      </c>
      <c r="Q36" s="47"/>
      <c r="R36" s="47"/>
      <c r="S36" s="46"/>
      <c r="T36" s="46"/>
      <c r="U36" s="46"/>
      <c r="V36" s="46"/>
    </row>
    <row r="37" spans="1:18" s="69" customFormat="1" ht="11.25">
      <c r="A37" s="64"/>
      <c r="B37" s="65"/>
      <c r="C37" s="66"/>
      <c r="D37" s="66"/>
      <c r="E37" s="5"/>
      <c r="F37" s="67"/>
      <c r="G37" s="70"/>
      <c r="H37" s="70"/>
      <c r="I37" s="68"/>
      <c r="J37" s="70"/>
      <c r="K37" s="70"/>
      <c r="L37" s="68"/>
      <c r="M37" s="70"/>
      <c r="N37" s="71"/>
      <c r="O37" s="12"/>
      <c r="Q37" s="12"/>
      <c r="R37" s="12"/>
    </row>
    <row r="38" spans="1:22" ht="11.25">
      <c r="A38" s="20"/>
      <c r="B38" s="22"/>
      <c r="C38" s="4"/>
      <c r="D38" s="48"/>
      <c r="E38" s="49"/>
      <c r="F38" s="50" t="s">
        <v>66</v>
      </c>
      <c r="G38" s="305">
        <f>935+1139</f>
        <v>2074</v>
      </c>
      <c r="H38" s="305"/>
      <c r="I38" s="56"/>
      <c r="J38" s="305">
        <v>1434</v>
      </c>
      <c r="K38" s="305"/>
      <c r="L38" s="56"/>
      <c r="M38" s="305">
        <f>1070+1202</f>
        <v>2272</v>
      </c>
      <c r="N38" s="306"/>
      <c r="O38"/>
      <c r="P38" s="46" t="s">
        <v>72</v>
      </c>
      <c r="Q38" s="47"/>
      <c r="R38" s="47"/>
      <c r="S38" s="46"/>
      <c r="T38" s="46"/>
      <c r="U38" s="46"/>
      <c r="V38" s="46"/>
    </row>
    <row r="39" spans="1:22" ht="11.25">
      <c r="A39" s="20"/>
      <c r="B39" s="22"/>
      <c r="C39" s="4"/>
      <c r="D39" s="48"/>
      <c r="E39" s="49"/>
      <c r="F39" s="50" t="s">
        <v>65</v>
      </c>
      <c r="G39" s="299">
        <v>3315</v>
      </c>
      <c r="H39" s="300"/>
      <c r="I39" s="56"/>
      <c r="J39" s="299">
        <v>839</v>
      </c>
      <c r="K39" s="300"/>
      <c r="L39" s="56"/>
      <c r="M39" s="299">
        <v>4172</v>
      </c>
      <c r="N39" s="301"/>
      <c r="O39"/>
      <c r="P39" s="46" t="s">
        <v>73</v>
      </c>
      <c r="Q39" s="47"/>
      <c r="R39" s="47"/>
      <c r="S39" s="46"/>
      <c r="T39" s="46"/>
      <c r="U39" s="46"/>
      <c r="V39" s="46"/>
    </row>
    <row r="40" spans="1:22" ht="11.25">
      <c r="A40" s="20"/>
      <c r="B40" s="22"/>
      <c r="C40" s="4"/>
      <c r="D40" s="48"/>
      <c r="E40" s="49"/>
      <c r="F40" s="50" t="s">
        <v>67</v>
      </c>
      <c r="G40" s="302">
        <v>1741</v>
      </c>
      <c r="H40" s="303"/>
      <c r="I40" s="56"/>
      <c r="J40" s="302">
        <v>3215</v>
      </c>
      <c r="K40" s="303"/>
      <c r="L40" s="56"/>
      <c r="M40" s="302">
        <v>1675</v>
      </c>
      <c r="N40" s="304"/>
      <c r="O40"/>
      <c r="P40" s="46" t="s">
        <v>75</v>
      </c>
      <c r="Q40" s="47"/>
      <c r="R40" s="47"/>
      <c r="S40" s="46"/>
      <c r="T40" s="46"/>
      <c r="U40" s="46"/>
      <c r="V40" s="46"/>
    </row>
    <row r="41" spans="1:22" ht="11.25">
      <c r="A41" s="20"/>
      <c r="B41" s="22"/>
      <c r="C41" s="4"/>
      <c r="D41" s="48"/>
      <c r="E41" s="49"/>
      <c r="F41" s="50" t="s">
        <v>68</v>
      </c>
      <c r="G41" s="302">
        <v>0</v>
      </c>
      <c r="H41" s="303"/>
      <c r="I41" s="56"/>
      <c r="J41" s="302">
        <v>0</v>
      </c>
      <c r="K41" s="303"/>
      <c r="L41" s="56"/>
      <c r="M41" s="302">
        <v>0</v>
      </c>
      <c r="N41" s="304"/>
      <c r="O41"/>
      <c r="P41" s="46" t="s">
        <v>74</v>
      </c>
      <c r="Q41" s="47"/>
      <c r="R41" s="47"/>
      <c r="S41" s="46"/>
      <c r="T41" s="46"/>
      <c r="U41" s="46"/>
      <c r="V41" s="46"/>
    </row>
    <row r="42" spans="1:18" ht="11.25">
      <c r="A42" s="20"/>
      <c r="B42" s="4"/>
      <c r="C42" s="4"/>
      <c r="D42" s="4"/>
      <c r="E42" s="3"/>
      <c r="F42" s="3"/>
      <c r="G42" s="9"/>
      <c r="H42" s="9"/>
      <c r="I42" s="22"/>
      <c r="J42" s="9"/>
      <c r="K42" s="9"/>
      <c r="L42" s="22"/>
      <c r="M42" s="9"/>
      <c r="N42" s="26"/>
      <c r="O42"/>
      <c r="P42"/>
      <c r="Q42"/>
      <c r="R42"/>
    </row>
    <row r="43" spans="1:18" ht="11.25">
      <c r="A43" s="20"/>
      <c r="B43" s="22"/>
      <c r="C43" s="4"/>
      <c r="D43" s="4"/>
      <c r="E43" s="3"/>
      <c r="F43" s="29" t="s">
        <v>22</v>
      </c>
      <c r="G43" s="302">
        <f>+(G11+G18)/(G33+G34)</f>
        <v>1568.6021505376343</v>
      </c>
      <c r="H43" s="303"/>
      <c r="I43" s="22"/>
      <c r="J43" s="302">
        <f>+(J11+J18)/(J33+J34)</f>
        <v>2239.4285714285716</v>
      </c>
      <c r="K43" s="303"/>
      <c r="L43" s="22"/>
      <c r="M43" s="302">
        <f>+(M11+M18)/(M33+M34)</f>
        <v>1644.5544554455446</v>
      </c>
      <c r="N43" s="303"/>
      <c r="O43"/>
      <c r="P43" t="s">
        <v>32</v>
      </c>
      <c r="Q43"/>
      <c r="R43"/>
    </row>
    <row r="44" spans="1:18" ht="11.25">
      <c r="A44" s="20"/>
      <c r="B44" s="22"/>
      <c r="C44" s="4"/>
      <c r="D44" s="4"/>
      <c r="E44" s="3"/>
      <c r="F44" s="29" t="s">
        <v>216</v>
      </c>
      <c r="G44" s="332">
        <f>(G11+G18)/SUM(G33:H36)</f>
        <v>1290.9734513274336</v>
      </c>
      <c r="H44" s="332"/>
      <c r="I44" s="22"/>
      <c r="J44" s="332">
        <f>(J11+J18)/SUM(J33:K36)</f>
        <v>1492.952380952381</v>
      </c>
      <c r="K44" s="332"/>
      <c r="L44" s="22"/>
      <c r="M44" s="332">
        <f>(M11+M18)/SUM(M33:N36)</f>
        <v>1431.896551724138</v>
      </c>
      <c r="N44" s="332"/>
      <c r="O44"/>
      <c r="P44"/>
      <c r="Q44"/>
      <c r="R44"/>
    </row>
    <row r="45" spans="1:17" ht="11.25">
      <c r="A45" s="20"/>
      <c r="B45" s="4"/>
      <c r="C45" s="4"/>
      <c r="D45" s="4"/>
      <c r="E45" s="3"/>
      <c r="F45" s="3"/>
      <c r="G45" s="34" t="s">
        <v>24</v>
      </c>
      <c r="H45" s="34" t="s">
        <v>23</v>
      </c>
      <c r="I45" s="28"/>
      <c r="J45" s="34" t="s">
        <v>24</v>
      </c>
      <c r="K45" s="34" t="s">
        <v>23</v>
      </c>
      <c r="L45" s="28"/>
      <c r="M45" s="34" t="s">
        <v>24</v>
      </c>
      <c r="N45" s="35" t="s">
        <v>23</v>
      </c>
      <c r="O45" s="14"/>
      <c r="P45" s="13"/>
      <c r="Q45" s="31"/>
    </row>
    <row r="46" spans="1:22" ht="11.25">
      <c r="A46" s="20"/>
      <c r="B46" s="4"/>
      <c r="C46" s="4"/>
      <c r="D46" s="52"/>
      <c r="E46" s="53"/>
      <c r="F46" s="54" t="s">
        <v>25</v>
      </c>
      <c r="G46" s="76">
        <v>6</v>
      </c>
      <c r="H46" s="32">
        <f>G46/(G46+G47+G48+G49)</f>
        <v>0.6896551724137931</v>
      </c>
      <c r="I46" s="28"/>
      <c r="J46" s="76">
        <v>6</v>
      </c>
      <c r="K46" s="32">
        <f>J46/(J46+J47+J48+J49)</f>
        <v>0.6896551724137931</v>
      </c>
      <c r="L46" s="28"/>
      <c r="M46" s="76">
        <v>6</v>
      </c>
      <c r="N46" s="36">
        <f>M46/(M46+M47+M48+M49)</f>
        <v>0.6896551724137931</v>
      </c>
      <c r="O46" s="14"/>
      <c r="P46" s="55" t="s">
        <v>84</v>
      </c>
      <c r="Q46" s="51"/>
      <c r="R46" s="55"/>
      <c r="S46" s="55"/>
      <c r="T46" s="55"/>
      <c r="U46" s="55"/>
      <c r="V46" s="55"/>
    </row>
    <row r="47" spans="1:22" ht="11.25">
      <c r="A47" s="20"/>
      <c r="B47" s="4"/>
      <c r="C47" s="4"/>
      <c r="D47" s="52"/>
      <c r="E47" s="53"/>
      <c r="F47" s="54" t="s">
        <v>13</v>
      </c>
      <c r="G47" s="76">
        <v>2</v>
      </c>
      <c r="H47" s="32">
        <f>G47/(G46+G47+G48+G49)</f>
        <v>0.2298850574712644</v>
      </c>
      <c r="I47" s="28"/>
      <c r="J47" s="76">
        <v>2</v>
      </c>
      <c r="K47" s="32">
        <f>J47/(J46+J47+J48+J49)</f>
        <v>0.2298850574712644</v>
      </c>
      <c r="L47" s="28"/>
      <c r="M47" s="76">
        <v>2</v>
      </c>
      <c r="N47" s="36">
        <f>M47/(M46+M47+M48+M49)</f>
        <v>0.2298850574712644</v>
      </c>
      <c r="O47" s="14"/>
      <c r="P47" s="55" t="s">
        <v>84</v>
      </c>
      <c r="Q47" s="51"/>
      <c r="R47" s="55"/>
      <c r="S47" s="55"/>
      <c r="T47" s="55"/>
      <c r="U47" s="55"/>
      <c r="V47" s="55"/>
    </row>
    <row r="48" spans="1:22" ht="11.25">
      <c r="A48" s="20"/>
      <c r="B48" s="4"/>
      <c r="C48" s="4"/>
      <c r="D48" s="52"/>
      <c r="E48" s="53"/>
      <c r="F48" s="54" t="s">
        <v>51</v>
      </c>
      <c r="G48" s="76">
        <v>0.7</v>
      </c>
      <c r="H48" s="32">
        <f>G48/(G46+G47+G48+G49)</f>
        <v>0.08045977011494253</v>
      </c>
      <c r="I48" s="28"/>
      <c r="J48" s="76">
        <v>0.7</v>
      </c>
      <c r="K48" s="32">
        <f>J48/(J46+J47+J48+J49)</f>
        <v>0.08045977011494253</v>
      </c>
      <c r="L48" s="28"/>
      <c r="M48" s="76">
        <v>0.7</v>
      </c>
      <c r="N48" s="36">
        <f>M48/(M46+M47+M48+M49)</f>
        <v>0.08045977011494253</v>
      </c>
      <c r="O48" s="14"/>
      <c r="P48" s="55" t="s">
        <v>85</v>
      </c>
      <c r="Q48" s="51"/>
      <c r="R48" s="55"/>
      <c r="S48" s="55"/>
      <c r="T48" s="55"/>
      <c r="U48" s="55"/>
      <c r="V48" s="55"/>
    </row>
    <row r="49" spans="1:22" ht="11.25">
      <c r="A49" s="20"/>
      <c r="B49" s="4"/>
      <c r="C49" s="4"/>
      <c r="D49" s="52"/>
      <c r="E49" s="53"/>
      <c r="F49" s="54" t="s">
        <v>52</v>
      </c>
      <c r="G49" s="76">
        <v>0</v>
      </c>
      <c r="H49" s="32">
        <f>G49/(G46+G47+G48+G49)</f>
        <v>0</v>
      </c>
      <c r="I49" s="28"/>
      <c r="J49" s="76">
        <v>0</v>
      </c>
      <c r="K49" s="32">
        <f>J49/(J46+J47+J48+J49)</f>
        <v>0</v>
      </c>
      <c r="L49" s="28"/>
      <c r="M49" s="76">
        <v>0</v>
      </c>
      <c r="N49" s="36">
        <f>M49/(M46+M47+M48+M49)</f>
        <v>0</v>
      </c>
      <c r="O49" s="14"/>
      <c r="P49" s="55" t="s">
        <v>85</v>
      </c>
      <c r="Q49" s="51"/>
      <c r="R49" s="55"/>
      <c r="S49" s="55"/>
      <c r="T49" s="55"/>
      <c r="U49" s="55"/>
      <c r="V49" s="55"/>
    </row>
    <row r="50" spans="1:14" ht="11.25">
      <c r="A50" s="21" t="s">
        <v>4</v>
      </c>
      <c r="B50" s="22"/>
      <c r="C50" s="4"/>
      <c r="D50" s="4"/>
      <c r="E50" s="3"/>
      <c r="F50" s="3"/>
      <c r="G50" s="8"/>
      <c r="H50" s="8"/>
      <c r="I50" s="3"/>
      <c r="J50" s="8"/>
      <c r="K50" s="8"/>
      <c r="L50" s="3"/>
      <c r="M50" s="8"/>
      <c r="N50" s="25"/>
    </row>
    <row r="51" spans="1:16" ht="11.25">
      <c r="A51" s="21"/>
      <c r="B51" s="22"/>
      <c r="C51" s="4"/>
      <c r="D51" s="4"/>
      <c r="E51" s="3"/>
      <c r="F51" s="63" t="s">
        <v>77</v>
      </c>
      <c r="G51" s="293">
        <v>0.928</v>
      </c>
      <c r="H51" s="294"/>
      <c r="I51" s="72"/>
      <c r="J51" s="293">
        <v>0.911</v>
      </c>
      <c r="K51" s="294"/>
      <c r="L51" s="72"/>
      <c r="M51" s="293">
        <v>0.918</v>
      </c>
      <c r="N51" s="295"/>
      <c r="P51" s="10" t="s">
        <v>87</v>
      </c>
    </row>
    <row r="52" spans="1:16" ht="11.25">
      <c r="A52" s="21"/>
      <c r="B52" s="22"/>
      <c r="C52" s="4"/>
      <c r="D52" s="4"/>
      <c r="E52" s="3"/>
      <c r="F52" s="63" t="s">
        <v>76</v>
      </c>
      <c r="G52" s="293">
        <v>0.077</v>
      </c>
      <c r="H52" s="294"/>
      <c r="I52" s="72"/>
      <c r="J52" s="293">
        <v>0.089</v>
      </c>
      <c r="K52" s="294"/>
      <c r="L52" s="72"/>
      <c r="M52" s="293">
        <v>0.075</v>
      </c>
      <c r="N52" s="295"/>
      <c r="P52" s="10" t="s">
        <v>79</v>
      </c>
    </row>
    <row r="53" spans="1:16" ht="11" customHeight="1">
      <c r="A53" s="20"/>
      <c r="B53" s="23"/>
      <c r="C53" s="4"/>
      <c r="D53" s="4"/>
      <c r="E53" s="3"/>
      <c r="F53" s="29" t="s">
        <v>10</v>
      </c>
      <c r="G53" s="296">
        <v>4</v>
      </c>
      <c r="H53" s="297"/>
      <c r="I53" s="3"/>
      <c r="J53" s="296">
        <v>6</v>
      </c>
      <c r="K53" s="297"/>
      <c r="L53" s="3"/>
      <c r="M53" s="296">
        <v>5</v>
      </c>
      <c r="N53" s="298"/>
      <c r="P53" s="10" t="s">
        <v>34</v>
      </c>
    </row>
    <row r="54" spans="1:16" ht="11.25">
      <c r="A54" s="20"/>
      <c r="B54" s="23"/>
      <c r="C54" s="4"/>
      <c r="D54" s="4"/>
      <c r="E54" s="3"/>
      <c r="F54" s="29" t="s">
        <v>8</v>
      </c>
      <c r="G54" s="296">
        <v>28</v>
      </c>
      <c r="H54" s="297"/>
      <c r="I54" s="14"/>
      <c r="J54" s="296">
        <v>24</v>
      </c>
      <c r="K54" s="297"/>
      <c r="L54" s="14"/>
      <c r="M54" s="296">
        <v>26</v>
      </c>
      <c r="N54" s="298"/>
      <c r="P54" s="10" t="s">
        <v>36</v>
      </c>
    </row>
    <row r="55" spans="1:16" ht="11.25">
      <c r="A55" s="20"/>
      <c r="B55" s="23"/>
      <c r="C55" s="4"/>
      <c r="D55" s="4"/>
      <c r="E55" s="3"/>
      <c r="F55" s="42" t="s">
        <v>11</v>
      </c>
      <c r="G55" s="296">
        <v>20.2</v>
      </c>
      <c r="H55" s="297"/>
      <c r="I55" s="3"/>
      <c r="J55" s="296">
        <v>21.2</v>
      </c>
      <c r="K55" s="297"/>
      <c r="L55" s="3"/>
      <c r="M55" s="296">
        <v>19.5</v>
      </c>
      <c r="N55" s="298"/>
      <c r="P55" s="10" t="s">
        <v>42</v>
      </c>
    </row>
    <row r="56" spans="1:19" ht="11.25">
      <c r="A56" s="20"/>
      <c r="B56" s="22"/>
      <c r="C56" s="4"/>
      <c r="D56" s="4"/>
      <c r="E56" s="3"/>
      <c r="F56" s="29" t="s">
        <v>9</v>
      </c>
      <c r="G56" s="293">
        <v>0.76</v>
      </c>
      <c r="H56" s="294"/>
      <c r="I56" s="3"/>
      <c r="J56" s="293">
        <v>0.8</v>
      </c>
      <c r="K56" s="294"/>
      <c r="L56" s="3"/>
      <c r="M56" s="293">
        <v>0.93</v>
      </c>
      <c r="N56" s="295"/>
      <c r="P56" s="10" t="s">
        <v>37</v>
      </c>
      <c r="Q56"/>
      <c r="R56"/>
      <c r="S56"/>
    </row>
    <row r="57" spans="1:19" ht="11.25">
      <c r="A57" s="20"/>
      <c r="B57" s="22"/>
      <c r="C57" s="4"/>
      <c r="D57" s="4"/>
      <c r="E57" s="27"/>
      <c r="F57" s="29" t="s">
        <v>12</v>
      </c>
      <c r="G57" s="296">
        <v>0</v>
      </c>
      <c r="H57" s="297"/>
      <c r="I57" s="28"/>
      <c r="J57" s="296">
        <v>0</v>
      </c>
      <c r="K57" s="297"/>
      <c r="L57" s="28"/>
      <c r="M57" s="296">
        <v>0</v>
      </c>
      <c r="N57" s="298"/>
      <c r="P57" s="10" t="s">
        <v>38</v>
      </c>
      <c r="Q57"/>
      <c r="R57"/>
      <c r="S57"/>
    </row>
    <row r="58" spans="1:19" ht="11.25">
      <c r="A58" s="20"/>
      <c r="B58" s="22"/>
      <c r="C58" s="4"/>
      <c r="D58" s="4"/>
      <c r="E58" s="3"/>
      <c r="F58" s="29" t="s">
        <v>19</v>
      </c>
      <c r="G58" s="293">
        <v>0.167</v>
      </c>
      <c r="H58" s="294"/>
      <c r="I58" s="28"/>
      <c r="J58" s="293">
        <v>0.133</v>
      </c>
      <c r="K58" s="294"/>
      <c r="L58" s="28"/>
      <c r="M58" s="293">
        <v>0.093</v>
      </c>
      <c r="N58" s="295"/>
      <c r="P58" s="10" t="s">
        <v>39</v>
      </c>
      <c r="Q58"/>
      <c r="R58"/>
      <c r="S58"/>
    </row>
    <row r="59" spans="1:19" ht="11.25">
      <c r="A59" s="20"/>
      <c r="B59" s="22"/>
      <c r="C59" s="4"/>
      <c r="D59" s="4"/>
      <c r="E59" s="3"/>
      <c r="F59" s="29" t="s">
        <v>0</v>
      </c>
      <c r="G59" s="293">
        <v>-0.041</v>
      </c>
      <c r="H59" s="294"/>
      <c r="I59" s="28"/>
      <c r="J59" s="293">
        <v>0</v>
      </c>
      <c r="K59" s="294"/>
      <c r="L59" s="28"/>
      <c r="M59" s="293">
        <v>0</v>
      </c>
      <c r="N59" s="295"/>
      <c r="P59" s="10" t="s">
        <v>40</v>
      </c>
      <c r="Q59"/>
      <c r="R59"/>
      <c r="S59"/>
    </row>
    <row r="60" spans="1:14" ht="11.25">
      <c r="A60" s="21" t="s">
        <v>1</v>
      </c>
      <c r="B60" s="28"/>
      <c r="C60" s="28"/>
      <c r="D60" s="28"/>
      <c r="E60" s="28"/>
      <c r="F60" s="28"/>
      <c r="G60" s="28"/>
      <c r="H60" s="28"/>
      <c r="I60" s="28"/>
      <c r="J60" s="28"/>
      <c r="K60" s="28"/>
      <c r="L60" s="28"/>
      <c r="M60" s="28"/>
      <c r="N60" s="33"/>
    </row>
    <row r="61" spans="1:16" ht="11.25">
      <c r="A61" s="37" t="s">
        <v>136</v>
      </c>
      <c r="B61" s="28"/>
      <c r="C61" s="28"/>
      <c r="D61" s="28"/>
      <c r="E61" s="28"/>
      <c r="F61" s="28"/>
      <c r="G61" s="28"/>
      <c r="H61" s="28"/>
      <c r="I61" s="28"/>
      <c r="J61" s="28"/>
      <c r="K61" s="28"/>
      <c r="L61" s="28"/>
      <c r="M61" s="28"/>
      <c r="N61" s="33"/>
      <c r="P61" t="s">
        <v>35</v>
      </c>
    </row>
    <row r="62" spans="1:14" ht="11.25">
      <c r="A62" s="38" t="s">
        <v>137</v>
      </c>
      <c r="B62" s="23"/>
      <c r="C62" s="23"/>
      <c r="D62" s="23"/>
      <c r="E62" s="23"/>
      <c r="F62" s="23"/>
      <c r="G62" s="23"/>
      <c r="H62" s="23"/>
      <c r="I62" s="23"/>
      <c r="J62" s="23"/>
      <c r="K62" s="23"/>
      <c r="L62" s="23"/>
      <c r="M62" s="23"/>
      <c r="N62" s="24"/>
    </row>
    <row r="63" spans="1:14" ht="11.25">
      <c r="A63" s="38" t="s">
        <v>138</v>
      </c>
      <c r="B63" s="23"/>
      <c r="C63" s="23"/>
      <c r="D63" s="23"/>
      <c r="E63" s="23"/>
      <c r="F63" s="23"/>
      <c r="G63" s="23"/>
      <c r="H63" s="23"/>
      <c r="I63" s="23"/>
      <c r="J63" s="23"/>
      <c r="K63" s="23"/>
      <c r="L63" s="23"/>
      <c r="M63" s="23"/>
      <c r="N63" s="24"/>
    </row>
    <row r="64" spans="1:16" ht="11.25">
      <c r="A64" s="38"/>
      <c r="B64" s="23"/>
      <c r="C64" s="23"/>
      <c r="D64" s="23"/>
      <c r="E64" s="23"/>
      <c r="F64" s="23"/>
      <c r="G64" s="23"/>
      <c r="H64" s="23"/>
      <c r="I64" s="23"/>
      <c r="J64" s="23"/>
      <c r="K64" s="23"/>
      <c r="L64" s="23"/>
      <c r="M64" s="23"/>
      <c r="N64" s="24"/>
      <c r="P64" s="44" t="s">
        <v>41</v>
      </c>
    </row>
    <row r="65" spans="1:14" ht="11.25">
      <c r="A65" s="38"/>
      <c r="B65" s="23"/>
      <c r="C65" s="23"/>
      <c r="D65" s="23"/>
      <c r="E65" s="23"/>
      <c r="F65" s="23"/>
      <c r="G65" s="23"/>
      <c r="H65" s="23"/>
      <c r="I65" s="23"/>
      <c r="J65" s="23"/>
      <c r="K65" s="23"/>
      <c r="L65" s="23"/>
      <c r="M65" s="23"/>
      <c r="N65" s="24"/>
    </row>
    <row r="66" spans="1:14" ht="12.75" thickBot="1">
      <c r="A66" s="39"/>
      <c r="B66" s="40"/>
      <c r="C66" s="40"/>
      <c r="D66" s="40"/>
      <c r="E66" s="40"/>
      <c r="F66" s="40"/>
      <c r="G66" s="40"/>
      <c r="H66" s="40"/>
      <c r="I66" s="40"/>
      <c r="J66" s="40"/>
      <c r="K66" s="40"/>
      <c r="L66" s="40"/>
      <c r="M66" s="40"/>
      <c r="N66" s="41"/>
    </row>
  </sheetData>
  <mergeCells count="122">
    <mergeCell ref="G5:H5"/>
    <mergeCell ref="G6:H6"/>
    <mergeCell ref="G7:H7"/>
    <mergeCell ref="G8:H8"/>
    <mergeCell ref="G9:H9"/>
    <mergeCell ref="J9:K9"/>
    <mergeCell ref="G2:N2"/>
    <mergeCell ref="G3:H3"/>
    <mergeCell ref="J3:K3"/>
    <mergeCell ref="M3:N3"/>
    <mergeCell ref="G4:H4"/>
    <mergeCell ref="J4:K4"/>
    <mergeCell ref="M4:N4"/>
    <mergeCell ref="G13:H13"/>
    <mergeCell ref="J13:K13"/>
    <mergeCell ref="M13:N13"/>
    <mergeCell ref="G14:H14"/>
    <mergeCell ref="J14:K14"/>
    <mergeCell ref="M14:N14"/>
    <mergeCell ref="M9:N9"/>
    <mergeCell ref="G11:H11"/>
    <mergeCell ref="J11:K11"/>
    <mergeCell ref="M11:N11"/>
    <mergeCell ref="G12:H12"/>
    <mergeCell ref="J12:K12"/>
    <mergeCell ref="M12:N12"/>
    <mergeCell ref="G18:H18"/>
    <mergeCell ref="J18:K18"/>
    <mergeCell ref="M18:N18"/>
    <mergeCell ref="G19:H19"/>
    <mergeCell ref="J19:K19"/>
    <mergeCell ref="M19:N19"/>
    <mergeCell ref="G15:H15"/>
    <mergeCell ref="J15:K15"/>
    <mergeCell ref="M15:N15"/>
    <mergeCell ref="G16:H16"/>
    <mergeCell ref="J16:K16"/>
    <mergeCell ref="M16:N16"/>
    <mergeCell ref="G22:H22"/>
    <mergeCell ref="J22:K22"/>
    <mergeCell ref="M22:N22"/>
    <mergeCell ref="G24:H24"/>
    <mergeCell ref="J24:K24"/>
    <mergeCell ref="M24:N24"/>
    <mergeCell ref="G20:H20"/>
    <mergeCell ref="J20:K20"/>
    <mergeCell ref="M20:N20"/>
    <mergeCell ref="G21:H21"/>
    <mergeCell ref="J21:K21"/>
    <mergeCell ref="M21:N21"/>
    <mergeCell ref="G28:H28"/>
    <mergeCell ref="J28:K28"/>
    <mergeCell ref="M28:N28"/>
    <mergeCell ref="G29:H29"/>
    <mergeCell ref="J29:K29"/>
    <mergeCell ref="M29:N29"/>
    <mergeCell ref="G25:H25"/>
    <mergeCell ref="J25:K25"/>
    <mergeCell ref="M25:N25"/>
    <mergeCell ref="G27:H27"/>
    <mergeCell ref="J27:K27"/>
    <mergeCell ref="M27:N27"/>
    <mergeCell ref="G34:H34"/>
    <mergeCell ref="J34:K34"/>
    <mergeCell ref="M34:N34"/>
    <mergeCell ref="G35:H35"/>
    <mergeCell ref="J35:K35"/>
    <mergeCell ref="M35:N35"/>
    <mergeCell ref="G31:H31"/>
    <mergeCell ref="J31:K31"/>
    <mergeCell ref="M31:N31"/>
    <mergeCell ref="G33:H33"/>
    <mergeCell ref="J33:K33"/>
    <mergeCell ref="M33:N33"/>
    <mergeCell ref="G39:H39"/>
    <mergeCell ref="J39:K39"/>
    <mergeCell ref="M39:N39"/>
    <mergeCell ref="G40:H40"/>
    <mergeCell ref="J40:K40"/>
    <mergeCell ref="M40:N40"/>
    <mergeCell ref="G36:H36"/>
    <mergeCell ref="J36:K36"/>
    <mergeCell ref="M36:N36"/>
    <mergeCell ref="G38:H38"/>
    <mergeCell ref="J38:K38"/>
    <mergeCell ref="M38:N38"/>
    <mergeCell ref="G51:H51"/>
    <mergeCell ref="J51:K51"/>
    <mergeCell ref="M51:N51"/>
    <mergeCell ref="G52:H52"/>
    <mergeCell ref="J52:K52"/>
    <mergeCell ref="M52:N52"/>
    <mergeCell ref="G41:H41"/>
    <mergeCell ref="J41:K41"/>
    <mergeCell ref="M41:N41"/>
    <mergeCell ref="G43:H43"/>
    <mergeCell ref="J43:K43"/>
    <mergeCell ref="M43:N43"/>
    <mergeCell ref="G59:H59"/>
    <mergeCell ref="J59:K59"/>
    <mergeCell ref="M59:N59"/>
    <mergeCell ref="G44:H44"/>
    <mergeCell ref="J44:K44"/>
    <mergeCell ref="M44:N44"/>
    <mergeCell ref="G57:H57"/>
    <mergeCell ref="J57:K57"/>
    <mergeCell ref="M57:N57"/>
    <mergeCell ref="G58:H58"/>
    <mergeCell ref="J58:K58"/>
    <mergeCell ref="M58:N58"/>
    <mergeCell ref="G55:H55"/>
    <mergeCell ref="J55:K55"/>
    <mergeCell ref="M55:N55"/>
    <mergeCell ref="G56:H56"/>
    <mergeCell ref="J56:K56"/>
    <mergeCell ref="M56:N56"/>
    <mergeCell ref="G53:H53"/>
    <mergeCell ref="J53:K53"/>
    <mergeCell ref="M53:N53"/>
    <mergeCell ref="G54:H54"/>
    <mergeCell ref="J54:K54"/>
    <mergeCell ref="M54:N54"/>
  </mergeCells>
  <printOptions/>
  <pageMargins left="0.25" right="0.25" top="0.75" bottom="0.75" header="0.3" footer="0.3"/>
  <pageSetup fitToHeight="1" fitToWidth="1" horizontalDpi="1200" verticalDpi="1200" orientation="portrait" scale="94" r:id="rId3"/>
  <colBreaks count="1" manualBreakCount="1">
    <brk id="14" max="16383" man="1"/>
  </colBreaks>
  <legacy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V66"/>
  <sheetViews>
    <sheetView showGridLines="0" workbookViewId="0" topLeftCell="A13">
      <selection activeCell="M43" sqref="M43:N43"/>
    </sheetView>
  </sheetViews>
  <sheetFormatPr defaultColWidth="9.00390625" defaultRowHeight="11.25"/>
  <cols>
    <col min="1" max="1" width="4.625" style="1" customWidth="1"/>
    <col min="2" max="5" width="9.00390625" style="1" customWidth="1"/>
    <col min="6" max="6" width="7.125" style="1" customWidth="1"/>
    <col min="7" max="8" width="9.125" style="1" customWidth="1"/>
    <col min="9" max="9" width="1.75390625" style="1" customWidth="1"/>
    <col min="10" max="11" width="9.125" style="1" customWidth="1"/>
    <col min="12" max="12" width="1.75390625" style="1" customWidth="1"/>
    <col min="13" max="14" width="9.125" style="1" customWidth="1"/>
    <col min="15" max="15" width="3.75390625" style="10" customWidth="1"/>
    <col min="16" max="16384" width="9.00390625" style="10" customWidth="1"/>
  </cols>
  <sheetData>
    <row r="1" spans="1:14" s="12" customFormat="1" ht="11.25">
      <c r="A1" s="17" t="s">
        <v>88</v>
      </c>
      <c r="B1" s="18"/>
      <c r="C1" s="18"/>
      <c r="D1" s="18"/>
      <c r="E1" s="18"/>
      <c r="F1" s="18"/>
      <c r="G1" s="18"/>
      <c r="H1" s="18"/>
      <c r="I1" s="18"/>
      <c r="J1" s="18"/>
      <c r="K1" s="18"/>
      <c r="L1" s="18"/>
      <c r="M1" s="18"/>
      <c r="N1" s="19"/>
    </row>
    <row r="2" spans="1:16" s="12" customFormat="1" ht="11.25">
      <c r="A2" s="20" t="s">
        <v>89</v>
      </c>
      <c r="B2" s="15"/>
      <c r="C2" s="15"/>
      <c r="D2" s="15"/>
      <c r="E2" s="15"/>
      <c r="F2" s="15"/>
      <c r="G2" s="328" t="s">
        <v>26</v>
      </c>
      <c r="H2" s="328"/>
      <c r="I2" s="328"/>
      <c r="J2" s="328"/>
      <c r="K2" s="328"/>
      <c r="L2" s="328"/>
      <c r="M2" s="328"/>
      <c r="N2" s="329"/>
      <c r="P2" s="43" t="s">
        <v>27</v>
      </c>
    </row>
    <row r="3" spans="1:14" ht="11.25">
      <c r="A3" s="45"/>
      <c r="B3" s="2"/>
      <c r="C3" s="2"/>
      <c r="D3" s="2"/>
      <c r="E3" s="2"/>
      <c r="F3" s="16" t="s">
        <v>14</v>
      </c>
      <c r="G3" s="330">
        <v>19</v>
      </c>
      <c r="H3" s="327"/>
      <c r="I3" s="2"/>
      <c r="J3" s="330">
        <v>18</v>
      </c>
      <c r="K3" s="327"/>
      <c r="L3" s="2"/>
      <c r="M3" s="330">
        <v>17</v>
      </c>
      <c r="N3" s="331"/>
    </row>
    <row r="4" spans="1:14" ht="11.25">
      <c r="A4" s="20"/>
      <c r="B4" s="2"/>
      <c r="C4" s="2"/>
      <c r="D4" s="2"/>
      <c r="E4" s="2"/>
      <c r="F4" s="16" t="s">
        <v>15</v>
      </c>
      <c r="G4" s="330" t="s">
        <v>80</v>
      </c>
      <c r="H4" s="327"/>
      <c r="I4" s="2"/>
      <c r="J4" s="330" t="s">
        <v>81</v>
      </c>
      <c r="K4" s="327"/>
      <c r="L4" s="2"/>
      <c r="M4" s="330" t="s">
        <v>82</v>
      </c>
      <c r="N4" s="331"/>
    </row>
    <row r="5" spans="1:14" ht="11.25">
      <c r="A5" s="20"/>
      <c r="B5" s="2"/>
      <c r="C5" s="2"/>
      <c r="D5" s="2"/>
      <c r="E5" s="2"/>
      <c r="F5" s="16" t="s">
        <v>16</v>
      </c>
      <c r="G5" s="321" t="s">
        <v>95</v>
      </c>
      <c r="H5" s="322"/>
      <c r="I5" s="2"/>
      <c r="J5" s="28"/>
      <c r="K5" s="28"/>
      <c r="L5" s="28"/>
      <c r="M5" s="28"/>
      <c r="N5" s="33"/>
    </row>
    <row r="6" spans="1:14" ht="11.25">
      <c r="A6" s="20"/>
      <c r="B6" s="2"/>
      <c r="C6" s="2"/>
      <c r="D6" s="2"/>
      <c r="E6" s="2"/>
      <c r="F6" s="16" t="s">
        <v>17</v>
      </c>
      <c r="G6" s="323" t="s">
        <v>139</v>
      </c>
      <c r="H6" s="323"/>
      <c r="I6" s="2"/>
      <c r="J6" s="28"/>
      <c r="K6" s="28"/>
      <c r="L6" s="28"/>
      <c r="M6" s="28"/>
      <c r="N6" s="33"/>
    </row>
    <row r="7" spans="1:14" ht="11.25">
      <c r="A7" s="20"/>
      <c r="B7" s="2"/>
      <c r="C7" s="2"/>
      <c r="D7" s="2"/>
      <c r="E7" s="2"/>
      <c r="F7" s="16" t="s">
        <v>33</v>
      </c>
      <c r="G7" s="324" t="s">
        <v>97</v>
      </c>
      <c r="H7" s="325"/>
      <c r="I7" s="2"/>
      <c r="J7" s="28"/>
      <c r="K7" s="28"/>
      <c r="L7" s="28"/>
      <c r="M7" s="28"/>
      <c r="N7" s="33"/>
    </row>
    <row r="8" spans="1:14" ht="11.25">
      <c r="A8" s="20"/>
      <c r="B8" s="2"/>
      <c r="C8" s="2"/>
      <c r="D8" s="2"/>
      <c r="E8" s="2"/>
      <c r="F8" s="16" t="s">
        <v>18</v>
      </c>
      <c r="G8" s="326">
        <v>43935</v>
      </c>
      <c r="H8" s="327"/>
      <c r="I8" s="2"/>
      <c r="J8" s="28"/>
      <c r="K8" s="28"/>
      <c r="L8" s="28"/>
      <c r="M8" s="28"/>
      <c r="N8" s="33"/>
    </row>
    <row r="9" spans="1:14" ht="12.75">
      <c r="A9" s="21" t="s">
        <v>2</v>
      </c>
      <c r="B9" s="22"/>
      <c r="C9" s="4"/>
      <c r="D9" s="4"/>
      <c r="E9" s="3"/>
      <c r="F9" s="3"/>
      <c r="G9" s="319"/>
      <c r="H9" s="319"/>
      <c r="I9" s="3"/>
      <c r="J9" s="319"/>
      <c r="K9" s="319"/>
      <c r="L9" s="3"/>
      <c r="M9" s="319"/>
      <c r="N9" s="320"/>
    </row>
    <row r="10" spans="1:15" ht="12.75">
      <c r="A10" s="20"/>
      <c r="B10" s="22" t="s">
        <v>56</v>
      </c>
      <c r="C10" s="4"/>
      <c r="D10" s="4"/>
      <c r="E10" s="3"/>
      <c r="F10" s="29"/>
      <c r="G10" s="58"/>
      <c r="H10" s="58"/>
      <c r="I10" s="5"/>
      <c r="J10" s="58"/>
      <c r="K10" s="58"/>
      <c r="L10" s="5"/>
      <c r="M10" s="58"/>
      <c r="N10" s="59"/>
      <c r="O10" s="11"/>
    </row>
    <row r="11" spans="1:16" ht="11.25">
      <c r="A11" s="20"/>
      <c r="B11" s="22"/>
      <c r="C11" s="6"/>
      <c r="D11" s="6"/>
      <c r="E11" s="7"/>
      <c r="F11" s="30" t="s">
        <v>7</v>
      </c>
      <c r="G11" s="313">
        <v>1181</v>
      </c>
      <c r="H11" s="314"/>
      <c r="I11" s="5"/>
      <c r="J11" s="313">
        <v>1435</v>
      </c>
      <c r="K11" s="314"/>
      <c r="L11" s="5"/>
      <c r="M11" s="313">
        <v>1256</v>
      </c>
      <c r="N11" s="315"/>
      <c r="P11" s="10" t="s">
        <v>28</v>
      </c>
    </row>
    <row r="12" spans="1:16" ht="12.75">
      <c r="A12" s="20"/>
      <c r="B12" s="22"/>
      <c r="C12" s="4"/>
      <c r="D12" s="4"/>
      <c r="E12" s="3"/>
      <c r="F12" s="29" t="s">
        <v>5</v>
      </c>
      <c r="G12" s="316">
        <v>-0.03</v>
      </c>
      <c r="H12" s="317"/>
      <c r="I12" s="5"/>
      <c r="J12" s="316">
        <v>0.052</v>
      </c>
      <c r="K12" s="317"/>
      <c r="L12" s="5"/>
      <c r="M12" s="316">
        <v>-0.086</v>
      </c>
      <c r="N12" s="318"/>
      <c r="O12" s="11"/>
      <c r="P12" s="10" t="s">
        <v>29</v>
      </c>
    </row>
    <row r="13" spans="1:16" ht="12.75">
      <c r="A13" s="20"/>
      <c r="B13" s="22"/>
      <c r="C13" s="4"/>
      <c r="D13" s="4"/>
      <c r="E13" s="3"/>
      <c r="F13" s="29" t="s">
        <v>53</v>
      </c>
      <c r="G13" s="313">
        <v>2</v>
      </c>
      <c r="H13" s="314"/>
      <c r="I13" s="5"/>
      <c r="J13" s="313">
        <v>2</v>
      </c>
      <c r="K13" s="314"/>
      <c r="L13" s="5"/>
      <c r="M13" s="313">
        <v>2</v>
      </c>
      <c r="N13" s="315"/>
      <c r="O13" s="11"/>
      <c r="P13" s="10" t="s">
        <v>71</v>
      </c>
    </row>
    <row r="14" spans="1:16" ht="12.75">
      <c r="A14" s="20"/>
      <c r="B14" s="22"/>
      <c r="C14" s="4"/>
      <c r="D14" s="4"/>
      <c r="E14" s="3"/>
      <c r="F14" s="29" t="s">
        <v>54</v>
      </c>
      <c r="G14" s="313">
        <f>67+7</f>
        <v>74</v>
      </c>
      <c r="H14" s="314"/>
      <c r="I14" s="5"/>
      <c r="J14" s="313">
        <f>45+4</f>
        <v>49</v>
      </c>
      <c r="K14" s="314"/>
      <c r="L14" s="5"/>
      <c r="M14" s="313">
        <f>51+10</f>
        <v>61</v>
      </c>
      <c r="N14" s="315"/>
      <c r="O14" s="11"/>
      <c r="P14" s="10" t="s">
        <v>70</v>
      </c>
    </row>
    <row r="15" spans="1:16" ht="12.75">
      <c r="A15" s="20"/>
      <c r="B15" s="22"/>
      <c r="C15" s="4"/>
      <c r="D15" s="4"/>
      <c r="E15" s="3"/>
      <c r="F15" s="29" t="s">
        <v>55</v>
      </c>
      <c r="G15" s="313">
        <f>23+6</f>
        <v>29</v>
      </c>
      <c r="H15" s="314"/>
      <c r="I15" s="5"/>
      <c r="J15" s="313">
        <f>3+34</f>
        <v>37</v>
      </c>
      <c r="K15" s="314"/>
      <c r="L15" s="5"/>
      <c r="M15" s="313">
        <f>3+24</f>
        <v>27</v>
      </c>
      <c r="N15" s="315"/>
      <c r="O15" s="11"/>
      <c r="P15" s="10" t="s">
        <v>69</v>
      </c>
    </row>
    <row r="16" spans="1:16" ht="12.75">
      <c r="A16" s="20"/>
      <c r="B16" s="22"/>
      <c r="C16" s="4"/>
      <c r="D16" s="4"/>
      <c r="E16" s="3"/>
      <c r="F16" s="29" t="s">
        <v>78</v>
      </c>
      <c r="G16" s="313">
        <v>14</v>
      </c>
      <c r="H16" s="314"/>
      <c r="I16" s="5"/>
      <c r="J16" s="313">
        <v>20</v>
      </c>
      <c r="K16" s="314"/>
      <c r="L16" s="5"/>
      <c r="M16" s="313">
        <v>32</v>
      </c>
      <c r="N16" s="315"/>
      <c r="O16" s="11"/>
      <c r="P16" s="10" t="s">
        <v>86</v>
      </c>
    </row>
    <row r="17" spans="1:15" ht="12.75">
      <c r="A17" s="20"/>
      <c r="B17" s="22" t="s">
        <v>57</v>
      </c>
      <c r="C17" s="4"/>
      <c r="D17" s="4"/>
      <c r="E17" s="3"/>
      <c r="F17" s="29"/>
      <c r="G17" s="58"/>
      <c r="H17" s="58"/>
      <c r="I17" s="5"/>
      <c r="J17" s="58"/>
      <c r="K17" s="58"/>
      <c r="L17" s="5"/>
      <c r="M17" s="58"/>
      <c r="N17" s="59"/>
      <c r="O17" s="11"/>
    </row>
    <row r="18" spans="1:16" ht="11.25">
      <c r="A18" s="20"/>
      <c r="B18" s="22"/>
      <c r="C18" s="6"/>
      <c r="D18" s="6"/>
      <c r="E18" s="7"/>
      <c r="F18" s="30" t="s">
        <v>7</v>
      </c>
      <c r="G18" s="313"/>
      <c r="H18" s="314"/>
      <c r="I18" s="5"/>
      <c r="J18" s="313"/>
      <c r="K18" s="314"/>
      <c r="L18" s="5"/>
      <c r="M18" s="313"/>
      <c r="N18" s="315"/>
      <c r="P18" s="10" t="s">
        <v>28</v>
      </c>
    </row>
    <row r="19" spans="1:16" ht="12.75">
      <c r="A19" s="20"/>
      <c r="B19" s="22"/>
      <c r="C19" s="4"/>
      <c r="D19" s="4"/>
      <c r="E19" s="3"/>
      <c r="F19" s="29" t="s">
        <v>5</v>
      </c>
      <c r="G19" s="316"/>
      <c r="H19" s="317"/>
      <c r="I19" s="5"/>
      <c r="J19" s="316"/>
      <c r="K19" s="317"/>
      <c r="L19" s="5"/>
      <c r="M19" s="316"/>
      <c r="N19" s="318"/>
      <c r="O19" s="11"/>
      <c r="P19" s="10" t="s">
        <v>29</v>
      </c>
    </row>
    <row r="20" spans="1:16" ht="12.75">
      <c r="A20" s="20"/>
      <c r="B20" s="22"/>
      <c r="C20" s="4"/>
      <c r="D20" s="4"/>
      <c r="E20" s="3"/>
      <c r="F20" s="29" t="s">
        <v>58</v>
      </c>
      <c r="G20" s="313"/>
      <c r="H20" s="314"/>
      <c r="I20" s="5"/>
      <c r="J20" s="313"/>
      <c r="K20" s="314"/>
      <c r="L20" s="5"/>
      <c r="M20" s="313"/>
      <c r="N20" s="315"/>
      <c r="O20" s="11"/>
      <c r="P20" s="10" t="s">
        <v>71</v>
      </c>
    </row>
    <row r="21" spans="1:16" ht="12.75">
      <c r="A21" s="20"/>
      <c r="B21" s="22"/>
      <c r="C21" s="4"/>
      <c r="D21" s="4"/>
      <c r="E21" s="3"/>
      <c r="F21" s="29" t="s">
        <v>59</v>
      </c>
      <c r="G21" s="313"/>
      <c r="H21" s="314"/>
      <c r="I21" s="5"/>
      <c r="J21" s="313"/>
      <c r="K21" s="314"/>
      <c r="L21" s="5"/>
      <c r="M21" s="313"/>
      <c r="N21" s="315"/>
      <c r="O21" s="11"/>
      <c r="P21" s="10" t="s">
        <v>83</v>
      </c>
    </row>
    <row r="22" spans="1:16" ht="12.75">
      <c r="A22" s="20"/>
      <c r="B22" s="22"/>
      <c r="C22" s="4"/>
      <c r="D22" s="4"/>
      <c r="E22" s="3"/>
      <c r="F22" s="29" t="s">
        <v>78</v>
      </c>
      <c r="G22" s="313"/>
      <c r="H22" s="314"/>
      <c r="I22" s="5"/>
      <c r="J22" s="313"/>
      <c r="K22" s="314"/>
      <c r="L22" s="5"/>
      <c r="M22" s="313"/>
      <c r="N22" s="315"/>
      <c r="O22" s="11"/>
      <c r="P22" s="10" t="s">
        <v>86</v>
      </c>
    </row>
    <row r="23" spans="1:14" ht="11.25">
      <c r="A23" s="20"/>
      <c r="B23" s="4" t="s">
        <v>6</v>
      </c>
      <c r="C23" s="4"/>
      <c r="D23" s="4"/>
      <c r="E23" s="3"/>
      <c r="F23" s="3"/>
      <c r="G23" s="23"/>
      <c r="H23" s="23"/>
      <c r="I23" s="5"/>
      <c r="J23" s="23"/>
      <c r="K23" s="23"/>
      <c r="L23" s="5"/>
      <c r="M23" s="23"/>
      <c r="N23" s="24"/>
    </row>
    <row r="24" spans="1:16" ht="11.25">
      <c r="A24" s="20"/>
      <c r="B24" s="22"/>
      <c r="C24" s="4"/>
      <c r="D24" s="4"/>
      <c r="E24" s="3"/>
      <c r="F24" s="29" t="s">
        <v>20</v>
      </c>
      <c r="G24" s="293">
        <v>0</v>
      </c>
      <c r="H24" s="294"/>
      <c r="I24" s="3"/>
      <c r="J24" s="293">
        <v>0</v>
      </c>
      <c r="K24" s="294"/>
      <c r="L24" s="3"/>
      <c r="M24" s="293">
        <v>0</v>
      </c>
      <c r="N24" s="295"/>
      <c r="P24" s="10" t="s">
        <v>30</v>
      </c>
    </row>
    <row r="25" spans="1:16" ht="11.25">
      <c r="A25" s="20"/>
      <c r="B25" s="22"/>
      <c r="C25" s="4"/>
      <c r="D25" s="4"/>
      <c r="E25" s="3"/>
      <c r="F25" s="29" t="s">
        <v>21</v>
      </c>
      <c r="G25" s="293">
        <v>1</v>
      </c>
      <c r="H25" s="294"/>
      <c r="I25" s="3"/>
      <c r="J25" s="293">
        <v>1</v>
      </c>
      <c r="K25" s="294"/>
      <c r="L25" s="3"/>
      <c r="M25" s="293">
        <v>1</v>
      </c>
      <c r="N25" s="295"/>
      <c r="P25" s="10" t="s">
        <v>31</v>
      </c>
    </row>
    <row r="26" spans="1:14" ht="11.25">
      <c r="A26" s="62" t="s">
        <v>60</v>
      </c>
      <c r="B26" s="22"/>
      <c r="C26" s="4"/>
      <c r="D26" s="4"/>
      <c r="E26" s="3"/>
      <c r="F26" s="29"/>
      <c r="G26" s="60"/>
      <c r="H26" s="60"/>
      <c r="I26" s="5"/>
      <c r="J26" s="60"/>
      <c r="K26" s="60"/>
      <c r="L26" s="5"/>
      <c r="M26" s="60"/>
      <c r="N26" s="61"/>
    </row>
    <row r="27" spans="1:16" ht="11.25">
      <c r="A27" s="20"/>
      <c r="B27" s="22"/>
      <c r="C27" s="4"/>
      <c r="D27" s="4"/>
      <c r="E27" s="3"/>
      <c r="F27" s="29" t="s">
        <v>61</v>
      </c>
      <c r="G27" s="313">
        <f>211794.52-G28</f>
        <v>188443.55</v>
      </c>
      <c r="H27" s="314"/>
      <c r="I27" s="5"/>
      <c r="J27" s="313">
        <f>222098.37-J28</f>
        <v>200386.7</v>
      </c>
      <c r="K27" s="314"/>
      <c r="L27" s="5"/>
      <c r="M27" s="313">
        <f>294394.62-M28</f>
        <v>275130.66</v>
      </c>
      <c r="N27" s="315"/>
      <c r="P27" s="10" t="s">
        <v>91</v>
      </c>
    </row>
    <row r="28" spans="1:16" ht="11.25">
      <c r="A28" s="20"/>
      <c r="B28" s="22"/>
      <c r="C28" s="4"/>
      <c r="D28" s="4"/>
      <c r="E28" s="3"/>
      <c r="F28" s="29" t="s">
        <v>62</v>
      </c>
      <c r="G28" s="313">
        <v>23350.97</v>
      </c>
      <c r="H28" s="314"/>
      <c r="I28" s="5"/>
      <c r="J28" s="313">
        <v>21711.67</v>
      </c>
      <c r="K28" s="314"/>
      <c r="L28" s="5"/>
      <c r="M28" s="313">
        <v>19263.96</v>
      </c>
      <c r="N28" s="315"/>
      <c r="P28" s="10" t="s">
        <v>91</v>
      </c>
    </row>
    <row r="29" spans="1:16" ht="11.25">
      <c r="A29" s="20"/>
      <c r="B29" s="22"/>
      <c r="C29" s="4"/>
      <c r="D29" s="4"/>
      <c r="E29" s="3"/>
      <c r="F29" s="29" t="s">
        <v>63</v>
      </c>
      <c r="G29" s="310">
        <v>64641.23</v>
      </c>
      <c r="H29" s="311"/>
      <c r="I29" s="5"/>
      <c r="J29" s="310">
        <v>68695.99</v>
      </c>
      <c r="K29" s="311"/>
      <c r="L29" s="5"/>
      <c r="M29" s="310">
        <v>61839.27</v>
      </c>
      <c r="N29" s="312"/>
      <c r="P29" s="10" t="s">
        <v>90</v>
      </c>
    </row>
    <row r="30" spans="1:14" ht="11.25">
      <c r="A30" s="20"/>
      <c r="B30" s="22"/>
      <c r="C30" s="4"/>
      <c r="D30" s="4"/>
      <c r="E30" s="3"/>
      <c r="F30" s="29"/>
      <c r="G30" s="73"/>
      <c r="H30" s="74"/>
      <c r="I30" s="5"/>
      <c r="J30" s="73"/>
      <c r="K30" s="74"/>
      <c r="L30" s="5"/>
      <c r="M30" s="73"/>
      <c r="N30" s="75"/>
    </row>
    <row r="31" spans="1:18" ht="11.25">
      <c r="A31" s="20"/>
      <c r="B31" s="4"/>
      <c r="C31" s="4"/>
      <c r="D31" s="4"/>
      <c r="E31" s="3"/>
      <c r="F31" s="63" t="s">
        <v>64</v>
      </c>
      <c r="G31" s="299">
        <f>SUM(G27:H29)/(G11+G18)</f>
        <v>234.06922099915326</v>
      </c>
      <c r="H31" s="300"/>
      <c r="I31" s="22"/>
      <c r="J31" s="299">
        <f>SUM(J27:K29)/(J11+J18)</f>
        <v>202.6441533101045</v>
      </c>
      <c r="K31" s="300"/>
      <c r="L31" s="22"/>
      <c r="M31" s="299">
        <f>SUM(M27:N29)/(M11+M18)</f>
        <v>283.62570859872613</v>
      </c>
      <c r="N31" s="301"/>
      <c r="O31"/>
      <c r="P31" t="s">
        <v>32</v>
      </c>
      <c r="Q31"/>
      <c r="R31"/>
    </row>
    <row r="32" spans="1:14" ht="11.25">
      <c r="A32" s="21" t="s">
        <v>3</v>
      </c>
      <c r="B32" s="22"/>
      <c r="C32" s="4"/>
      <c r="D32" s="4"/>
      <c r="E32" s="3"/>
      <c r="F32" s="3"/>
      <c r="G32" s="8"/>
      <c r="H32" s="8"/>
      <c r="I32" s="3"/>
      <c r="J32" s="8"/>
      <c r="K32" s="8"/>
      <c r="L32" s="3"/>
      <c r="M32" s="8"/>
      <c r="N32" s="25"/>
    </row>
    <row r="33" spans="1:22" ht="11.25">
      <c r="A33" s="20"/>
      <c r="B33" s="22"/>
      <c r="C33" s="4"/>
      <c r="D33" s="48"/>
      <c r="E33" s="49"/>
      <c r="F33" s="50" t="s">
        <v>43</v>
      </c>
      <c r="G33" s="302">
        <v>0.4</v>
      </c>
      <c r="H33" s="303"/>
      <c r="I33" s="56"/>
      <c r="J33" s="302">
        <f>0.4</f>
        <v>0.4</v>
      </c>
      <c r="K33" s="303"/>
      <c r="L33" s="56"/>
      <c r="M33" s="302">
        <v>0.5</v>
      </c>
      <c r="N33" s="304"/>
      <c r="O33"/>
      <c r="P33" s="46" t="s">
        <v>47</v>
      </c>
      <c r="Q33" s="47"/>
      <c r="R33" s="47"/>
      <c r="S33" s="46"/>
      <c r="T33" s="46"/>
      <c r="U33" s="46"/>
      <c r="V33" s="46"/>
    </row>
    <row r="34" spans="1:22" ht="11.25">
      <c r="A34" s="20"/>
      <c r="B34" s="22"/>
      <c r="C34" s="4"/>
      <c r="D34" s="48"/>
      <c r="E34" s="49"/>
      <c r="F34" s="50" t="s">
        <v>44</v>
      </c>
      <c r="G34" s="302">
        <f>0.7/36*45</f>
        <v>0.875</v>
      </c>
      <c r="H34" s="303"/>
      <c r="I34" s="56"/>
      <c r="J34" s="302">
        <f>0.7/36*45</f>
        <v>0.875</v>
      </c>
      <c r="K34" s="303"/>
      <c r="L34" s="56"/>
      <c r="M34" s="302">
        <f>0.7/36*45</f>
        <v>0.875</v>
      </c>
      <c r="N34" s="304"/>
      <c r="O34"/>
      <c r="P34" s="46" t="s">
        <v>48</v>
      </c>
      <c r="Q34" s="47"/>
      <c r="R34" s="47"/>
      <c r="S34" s="46"/>
      <c r="T34" s="46"/>
      <c r="U34" s="46"/>
      <c r="V34" s="46"/>
    </row>
    <row r="35" spans="1:22" ht="11.25">
      <c r="A35" s="20"/>
      <c r="B35" s="22"/>
      <c r="C35" s="4"/>
      <c r="D35" s="48"/>
      <c r="E35" s="49"/>
      <c r="F35" s="50" t="s">
        <v>45</v>
      </c>
      <c r="G35" s="307">
        <f>0.3/36*45</f>
        <v>0.375</v>
      </c>
      <c r="H35" s="308"/>
      <c r="I35" s="56"/>
      <c r="J35" s="307">
        <f>0.4/36*45</f>
        <v>0.5</v>
      </c>
      <c r="K35" s="308"/>
      <c r="L35" s="56"/>
      <c r="M35" s="307">
        <f>0.6/36*45</f>
        <v>0.75</v>
      </c>
      <c r="N35" s="309"/>
      <c r="O35"/>
      <c r="P35" s="46" t="s">
        <v>50</v>
      </c>
      <c r="Q35" s="47"/>
      <c r="R35" s="47"/>
      <c r="S35" s="46"/>
      <c r="T35" s="46"/>
      <c r="U35" s="46"/>
      <c r="V35" s="46"/>
    </row>
    <row r="36" spans="1:22" ht="11.25">
      <c r="A36" s="20"/>
      <c r="B36" s="22"/>
      <c r="C36" s="4"/>
      <c r="D36" s="48"/>
      <c r="E36" s="49"/>
      <c r="F36" s="50" t="s">
        <v>46</v>
      </c>
      <c r="G36" s="305">
        <v>0</v>
      </c>
      <c r="H36" s="305"/>
      <c r="I36" s="56"/>
      <c r="J36" s="305">
        <v>0</v>
      </c>
      <c r="K36" s="305"/>
      <c r="L36" s="56"/>
      <c r="M36" s="305"/>
      <c r="N36" s="306"/>
      <c r="O36"/>
      <c r="P36" s="46" t="s">
        <v>49</v>
      </c>
      <c r="Q36" s="47"/>
      <c r="R36" s="47"/>
      <c r="S36" s="46"/>
      <c r="T36" s="46"/>
      <c r="U36" s="46"/>
      <c r="V36" s="46"/>
    </row>
    <row r="37" spans="1:18" s="69" customFormat="1" ht="11.25">
      <c r="A37" s="64"/>
      <c r="B37" s="65"/>
      <c r="C37" s="66"/>
      <c r="D37" s="66"/>
      <c r="E37" s="5"/>
      <c r="F37" s="67"/>
      <c r="G37" s="70"/>
      <c r="H37" s="70"/>
      <c r="I37" s="68"/>
      <c r="J37" s="70"/>
      <c r="K37" s="70"/>
      <c r="L37" s="68"/>
      <c r="M37" s="70"/>
      <c r="N37" s="71"/>
      <c r="O37" s="12"/>
      <c r="Q37" s="12"/>
      <c r="R37" s="12"/>
    </row>
    <row r="38" spans="1:22" ht="11.25">
      <c r="A38" s="20"/>
      <c r="B38" s="22"/>
      <c r="C38" s="4"/>
      <c r="D38" s="48"/>
      <c r="E38" s="49"/>
      <c r="F38" s="50" t="s">
        <v>66</v>
      </c>
      <c r="G38" s="305">
        <v>346</v>
      </c>
      <c r="H38" s="305"/>
      <c r="I38" s="56"/>
      <c r="J38" s="305">
        <v>332</v>
      </c>
      <c r="K38" s="305"/>
      <c r="L38" s="56"/>
      <c r="M38" s="305">
        <v>318</v>
      </c>
      <c r="N38" s="306"/>
      <c r="O38"/>
      <c r="P38" s="46" t="s">
        <v>72</v>
      </c>
      <c r="Q38" s="47"/>
      <c r="R38" s="47"/>
      <c r="S38" s="46"/>
      <c r="T38" s="46"/>
      <c r="U38" s="46"/>
      <c r="V38" s="46"/>
    </row>
    <row r="39" spans="1:22" ht="11.25">
      <c r="A39" s="20"/>
      <c r="B39" s="22"/>
      <c r="C39" s="4"/>
      <c r="D39" s="48"/>
      <c r="E39" s="49"/>
      <c r="F39" s="50" t="s">
        <v>65</v>
      </c>
      <c r="G39" s="299">
        <v>608</v>
      </c>
      <c r="H39" s="300"/>
      <c r="I39" s="56"/>
      <c r="J39" s="299">
        <v>763</v>
      </c>
      <c r="K39" s="300"/>
      <c r="L39" s="56"/>
      <c r="M39" s="299">
        <v>504</v>
      </c>
      <c r="N39" s="301"/>
      <c r="O39"/>
      <c r="P39" s="46" t="s">
        <v>73</v>
      </c>
      <c r="Q39" s="47"/>
      <c r="R39" s="47"/>
      <c r="S39" s="46"/>
      <c r="T39" s="46"/>
      <c r="U39" s="46"/>
      <c r="V39" s="46"/>
    </row>
    <row r="40" spans="1:22" ht="11.25">
      <c r="A40" s="20"/>
      <c r="B40" s="22"/>
      <c r="C40" s="4"/>
      <c r="D40" s="48"/>
      <c r="E40" s="49"/>
      <c r="F40" s="50" t="s">
        <v>67</v>
      </c>
      <c r="G40" s="302">
        <v>228</v>
      </c>
      <c r="H40" s="303"/>
      <c r="I40" s="56"/>
      <c r="J40" s="302">
        <v>272</v>
      </c>
      <c r="K40" s="303"/>
      <c r="L40" s="56"/>
      <c r="M40" s="302">
        <v>352</v>
      </c>
      <c r="N40" s="304"/>
      <c r="O40"/>
      <c r="P40" s="46" t="s">
        <v>75</v>
      </c>
      <c r="Q40" s="47"/>
      <c r="R40" s="47"/>
      <c r="S40" s="46"/>
      <c r="T40" s="46"/>
      <c r="U40" s="46"/>
      <c r="V40" s="46"/>
    </row>
    <row r="41" spans="1:22" ht="11.25">
      <c r="A41" s="20"/>
      <c r="B41" s="22"/>
      <c r="C41" s="4"/>
      <c r="D41" s="48"/>
      <c r="E41" s="49"/>
      <c r="F41" s="50" t="s">
        <v>68</v>
      </c>
      <c r="G41" s="302">
        <v>0</v>
      </c>
      <c r="H41" s="303"/>
      <c r="I41" s="56"/>
      <c r="J41" s="302">
        <v>0</v>
      </c>
      <c r="K41" s="303"/>
      <c r="L41" s="56"/>
      <c r="M41" s="302">
        <v>0</v>
      </c>
      <c r="N41" s="304"/>
      <c r="O41"/>
      <c r="P41" s="46" t="s">
        <v>74</v>
      </c>
      <c r="Q41" s="47"/>
      <c r="R41" s="47"/>
      <c r="S41" s="46"/>
      <c r="T41" s="46"/>
      <c r="U41" s="46"/>
      <c r="V41" s="46"/>
    </row>
    <row r="42" spans="1:18" ht="11.25">
      <c r="A42" s="20"/>
      <c r="B42" s="4"/>
      <c r="C42" s="4"/>
      <c r="D42" s="4"/>
      <c r="E42" s="3"/>
      <c r="F42" s="3"/>
      <c r="G42" s="9"/>
      <c r="H42" s="9"/>
      <c r="I42" s="22"/>
      <c r="J42" s="9"/>
      <c r="K42" s="9"/>
      <c r="L42" s="22"/>
      <c r="M42" s="9"/>
      <c r="N42" s="26"/>
      <c r="O42"/>
      <c r="P42"/>
      <c r="Q42"/>
      <c r="R42"/>
    </row>
    <row r="43" spans="1:18" ht="11.25">
      <c r="A43" s="20"/>
      <c r="B43" s="22"/>
      <c r="C43" s="4"/>
      <c r="D43" s="4"/>
      <c r="E43" s="3"/>
      <c r="F43" s="29" t="s">
        <v>22</v>
      </c>
      <c r="G43" s="302">
        <f>+(G11+G18)/(G33+G34)</f>
        <v>926.2745098039217</v>
      </c>
      <c r="H43" s="303"/>
      <c r="I43" s="22"/>
      <c r="J43" s="302">
        <f>+(J11+J18)/(J33+J34)</f>
        <v>1125.4901960784314</v>
      </c>
      <c r="K43" s="303"/>
      <c r="L43" s="22"/>
      <c r="M43" s="302">
        <f>+(M11+M18)/(M33+M34)</f>
        <v>913.4545454545455</v>
      </c>
      <c r="N43" s="303"/>
      <c r="O43"/>
      <c r="P43" t="s">
        <v>32</v>
      </c>
      <c r="Q43"/>
      <c r="R43"/>
    </row>
    <row r="44" spans="1:18" ht="11.25">
      <c r="A44" s="20"/>
      <c r="B44" s="22"/>
      <c r="C44" s="4"/>
      <c r="D44" s="4"/>
      <c r="E44" s="3"/>
      <c r="F44" s="29" t="s">
        <v>216</v>
      </c>
      <c r="G44" s="332">
        <f>(G11+G18)/SUM(G33:H36)</f>
        <v>715.7575757575758</v>
      </c>
      <c r="H44" s="332"/>
      <c r="I44" s="22"/>
      <c r="J44" s="332">
        <f>(J11+J18)/SUM(J33:K36)</f>
        <v>808.4507042253522</v>
      </c>
      <c r="K44" s="332"/>
      <c r="L44" s="22"/>
      <c r="M44" s="332">
        <f>(M11+M18)/SUM(M33:N36)</f>
        <v>591.0588235294117</v>
      </c>
      <c r="N44" s="332"/>
      <c r="O44"/>
      <c r="P44"/>
      <c r="Q44"/>
      <c r="R44"/>
    </row>
    <row r="45" spans="1:17" ht="11.25">
      <c r="A45" s="20"/>
      <c r="B45" s="4"/>
      <c r="C45" s="4"/>
      <c r="D45" s="4"/>
      <c r="E45" s="3"/>
      <c r="F45" s="3"/>
      <c r="G45" s="34" t="s">
        <v>24</v>
      </c>
      <c r="H45" s="34" t="s">
        <v>23</v>
      </c>
      <c r="I45" s="28"/>
      <c r="J45" s="34" t="s">
        <v>24</v>
      </c>
      <c r="K45" s="34" t="s">
        <v>23</v>
      </c>
      <c r="L45" s="28"/>
      <c r="M45" s="34" t="s">
        <v>24</v>
      </c>
      <c r="N45" s="35" t="s">
        <v>23</v>
      </c>
      <c r="O45" s="14"/>
      <c r="P45" s="13"/>
      <c r="Q45" s="31"/>
    </row>
    <row r="46" spans="1:22" ht="11.25">
      <c r="A46" s="20"/>
      <c r="B46" s="4"/>
      <c r="C46" s="4"/>
      <c r="D46" s="52"/>
      <c r="E46" s="53"/>
      <c r="F46" s="54" t="s">
        <v>25</v>
      </c>
      <c r="G46" s="76">
        <v>2</v>
      </c>
      <c r="H46" s="32">
        <f>G46/SUM($G$46:$G$49)</f>
        <v>0.6451612903225806</v>
      </c>
      <c r="I46" s="28"/>
      <c r="J46" s="76">
        <v>2</v>
      </c>
      <c r="K46" s="32">
        <f>J46/SUM($J$46:$J$49)</f>
        <v>0.7380073800738006</v>
      </c>
      <c r="L46" s="28"/>
      <c r="M46" s="76">
        <v>2</v>
      </c>
      <c r="N46" s="36">
        <f>M46/SUM($M$46:$M$49)</f>
        <v>0.5698005698005698</v>
      </c>
      <c r="O46" s="14"/>
      <c r="P46" s="55" t="s">
        <v>84</v>
      </c>
      <c r="Q46" s="51"/>
      <c r="R46" s="55"/>
      <c r="S46" s="55"/>
      <c r="T46" s="55"/>
      <c r="U46" s="55"/>
      <c r="V46" s="55"/>
    </row>
    <row r="47" spans="1:22" ht="11.25">
      <c r="A47" s="20"/>
      <c r="B47" s="4"/>
      <c r="C47" s="4"/>
      <c r="D47" s="52"/>
      <c r="E47" s="53"/>
      <c r="F47" s="54" t="s">
        <v>13</v>
      </c>
      <c r="G47" s="76">
        <v>0</v>
      </c>
      <c r="H47" s="32">
        <f aca="true" t="shared" si="0" ref="H47:H49">G47/SUM($G$46:$G$49)</f>
        <v>0</v>
      </c>
      <c r="I47" s="28"/>
      <c r="J47" s="76">
        <v>0</v>
      </c>
      <c r="K47" s="32">
        <f aca="true" t="shared" si="1" ref="K47:K49">J47/SUM($J$46:$J$49)</f>
        <v>0</v>
      </c>
      <c r="L47" s="28"/>
      <c r="M47" s="76">
        <v>0</v>
      </c>
      <c r="N47" s="36">
        <f aca="true" t="shared" si="2" ref="N47:N49">M47/SUM($M$46:$M$49)</f>
        <v>0</v>
      </c>
      <c r="O47" s="14"/>
      <c r="P47" s="55" t="s">
        <v>84</v>
      </c>
      <c r="Q47" s="51"/>
      <c r="R47" s="55"/>
      <c r="S47" s="55"/>
      <c r="T47" s="55"/>
      <c r="U47" s="55"/>
      <c r="V47" s="55"/>
    </row>
    <row r="48" spans="1:22" ht="11.25">
      <c r="A48" s="20"/>
      <c r="B48" s="4"/>
      <c r="C48" s="4"/>
      <c r="D48" s="52"/>
      <c r="E48" s="53"/>
      <c r="F48" s="54" t="s">
        <v>51</v>
      </c>
      <c r="G48" s="76">
        <v>0.7</v>
      </c>
      <c r="H48" s="32">
        <f t="shared" si="0"/>
        <v>0.2258064516129032</v>
      </c>
      <c r="I48" s="28"/>
      <c r="J48" s="76">
        <v>0.53</v>
      </c>
      <c r="K48" s="32">
        <f t="shared" si="1"/>
        <v>0.19557195571955718</v>
      </c>
      <c r="L48" s="28"/>
      <c r="M48" s="76">
        <v>0.53</v>
      </c>
      <c r="N48" s="36">
        <f t="shared" si="2"/>
        <v>0.150997150997151</v>
      </c>
      <c r="O48" s="14"/>
      <c r="P48" s="55" t="s">
        <v>85</v>
      </c>
      <c r="Q48" s="51"/>
      <c r="R48" s="55"/>
      <c r="S48" s="55"/>
      <c r="T48" s="55"/>
      <c r="U48" s="55"/>
      <c r="V48" s="55"/>
    </row>
    <row r="49" spans="1:22" ht="11.25">
      <c r="A49" s="20"/>
      <c r="B49" s="4"/>
      <c r="C49" s="4"/>
      <c r="D49" s="52"/>
      <c r="E49" s="53"/>
      <c r="F49" s="54" t="s">
        <v>52</v>
      </c>
      <c r="G49" s="76">
        <v>0.4</v>
      </c>
      <c r="H49" s="32">
        <f t="shared" si="0"/>
        <v>0.12903225806451613</v>
      </c>
      <c r="I49" s="28"/>
      <c r="J49" s="76">
        <v>0.18</v>
      </c>
      <c r="K49" s="32">
        <f t="shared" si="1"/>
        <v>0.06642066420664205</v>
      </c>
      <c r="L49" s="28"/>
      <c r="M49" s="76">
        <v>0.98</v>
      </c>
      <c r="N49" s="36">
        <f t="shared" si="2"/>
        <v>0.2792022792022792</v>
      </c>
      <c r="O49" s="14"/>
      <c r="P49" s="55" t="s">
        <v>85</v>
      </c>
      <c r="Q49" s="51"/>
      <c r="R49" s="55"/>
      <c r="S49" s="55"/>
      <c r="T49" s="55"/>
      <c r="U49" s="55"/>
      <c r="V49" s="55"/>
    </row>
    <row r="50" spans="1:14" ht="11.25">
      <c r="A50" s="21" t="s">
        <v>4</v>
      </c>
      <c r="B50" s="22"/>
      <c r="C50" s="4"/>
      <c r="D50" s="4"/>
      <c r="E50" s="3"/>
      <c r="F50" s="3"/>
      <c r="G50" s="8"/>
      <c r="H50" s="8"/>
      <c r="I50" s="3"/>
      <c r="J50" s="8"/>
      <c r="K50" s="8"/>
      <c r="L50" s="3"/>
      <c r="M50" s="8"/>
      <c r="N50" s="25"/>
    </row>
    <row r="51" spans="1:16" ht="11.25">
      <c r="A51" s="21"/>
      <c r="B51" s="22"/>
      <c r="C51" s="4"/>
      <c r="D51" s="4"/>
      <c r="E51" s="3"/>
      <c r="F51" s="63" t="s">
        <v>77</v>
      </c>
      <c r="G51" s="293">
        <v>0.952</v>
      </c>
      <c r="H51" s="294"/>
      <c r="I51" s="72"/>
      <c r="J51" s="293">
        <v>0.969</v>
      </c>
      <c r="K51" s="294"/>
      <c r="L51" s="72"/>
      <c r="M51" s="293">
        <v>0.949</v>
      </c>
      <c r="N51" s="295"/>
      <c r="P51" s="10" t="s">
        <v>87</v>
      </c>
    </row>
    <row r="52" spans="1:16" ht="11.25">
      <c r="A52" s="21"/>
      <c r="B52" s="22"/>
      <c r="C52" s="4"/>
      <c r="D52" s="4"/>
      <c r="E52" s="3"/>
      <c r="F52" s="63" t="s">
        <v>76</v>
      </c>
      <c r="G52" s="293">
        <v>0.214</v>
      </c>
      <c r="H52" s="294"/>
      <c r="I52" s="72"/>
      <c r="J52" s="293">
        <v>0.069</v>
      </c>
      <c r="K52" s="294"/>
      <c r="L52" s="72"/>
      <c r="M52" s="293">
        <v>0.125</v>
      </c>
      <c r="N52" s="295"/>
      <c r="P52" s="10" t="s">
        <v>79</v>
      </c>
    </row>
    <row r="53" spans="1:16" ht="11" customHeight="1">
      <c r="A53" s="20"/>
      <c r="B53" s="23"/>
      <c r="C53" s="4"/>
      <c r="D53" s="4"/>
      <c r="E53" s="3"/>
      <c r="F53" s="29" t="s">
        <v>10</v>
      </c>
      <c r="G53" s="296">
        <v>2</v>
      </c>
      <c r="H53" s="297"/>
      <c r="I53" s="3"/>
      <c r="J53" s="296">
        <v>1</v>
      </c>
      <c r="K53" s="297"/>
      <c r="L53" s="3"/>
      <c r="M53" s="296">
        <v>2</v>
      </c>
      <c r="N53" s="298"/>
      <c r="P53" s="10" t="s">
        <v>34</v>
      </c>
    </row>
    <row r="54" spans="1:16" ht="11.25">
      <c r="A54" s="20"/>
      <c r="B54" s="23"/>
      <c r="C54" s="4"/>
      <c r="D54" s="4"/>
      <c r="E54" s="3"/>
      <c r="F54" s="29" t="s">
        <v>8</v>
      </c>
      <c r="G54" s="296">
        <v>23</v>
      </c>
      <c r="H54" s="297"/>
      <c r="I54" s="14"/>
      <c r="J54" s="296">
        <v>21</v>
      </c>
      <c r="K54" s="297"/>
      <c r="L54" s="14"/>
      <c r="M54" s="296">
        <v>20</v>
      </c>
      <c r="N54" s="298"/>
      <c r="P54" s="10" t="s">
        <v>36</v>
      </c>
    </row>
    <row r="55" spans="1:16" ht="11.25">
      <c r="A55" s="20"/>
      <c r="B55" s="23"/>
      <c r="C55" s="4"/>
      <c r="D55" s="4"/>
      <c r="E55" s="3"/>
      <c r="F55" s="42" t="s">
        <v>11</v>
      </c>
      <c r="G55" s="296">
        <v>15.7</v>
      </c>
      <c r="H55" s="297"/>
      <c r="I55" s="3"/>
      <c r="J55" s="296">
        <v>16.9</v>
      </c>
      <c r="K55" s="297"/>
      <c r="L55" s="3"/>
      <c r="M55" s="296">
        <v>16.1</v>
      </c>
      <c r="N55" s="298"/>
      <c r="P55" s="10" t="s">
        <v>42</v>
      </c>
    </row>
    <row r="56" spans="1:19" ht="11.25">
      <c r="A56" s="20"/>
      <c r="B56" s="22"/>
      <c r="C56" s="4"/>
      <c r="D56" s="4"/>
      <c r="E56" s="3"/>
      <c r="F56" s="29" t="s">
        <v>9</v>
      </c>
      <c r="G56" s="293">
        <v>0.59</v>
      </c>
      <c r="H56" s="294"/>
      <c r="I56" s="3"/>
      <c r="J56" s="293">
        <v>0.6</v>
      </c>
      <c r="K56" s="294"/>
      <c r="L56" s="3"/>
      <c r="M56" s="293">
        <v>0.49</v>
      </c>
      <c r="N56" s="295"/>
      <c r="P56" s="10" t="s">
        <v>37</v>
      </c>
      <c r="Q56"/>
      <c r="R56"/>
      <c r="S56"/>
    </row>
    <row r="57" spans="1:19" ht="11.25">
      <c r="A57" s="20"/>
      <c r="B57" s="22"/>
      <c r="C57" s="4"/>
      <c r="D57" s="4"/>
      <c r="E57" s="27"/>
      <c r="F57" s="29" t="s">
        <v>12</v>
      </c>
      <c r="G57" s="296">
        <v>0</v>
      </c>
      <c r="H57" s="297"/>
      <c r="I57" s="28"/>
      <c r="J57" s="296">
        <v>0</v>
      </c>
      <c r="K57" s="297"/>
      <c r="L57" s="28"/>
      <c r="M57" s="296">
        <v>0</v>
      </c>
      <c r="N57" s="298"/>
      <c r="P57" s="10" t="s">
        <v>38</v>
      </c>
      <c r="Q57"/>
      <c r="R57"/>
      <c r="S57"/>
    </row>
    <row r="58" spans="1:19" ht="11.25">
      <c r="A58" s="20"/>
      <c r="B58" s="22"/>
      <c r="C58" s="4"/>
      <c r="D58" s="4"/>
      <c r="E58" s="3"/>
      <c r="F58" s="29" t="s">
        <v>19</v>
      </c>
      <c r="G58" s="293">
        <v>0.133</v>
      </c>
      <c r="H58" s="294"/>
      <c r="I58" s="28"/>
      <c r="J58" s="293">
        <v>0.059</v>
      </c>
      <c r="K58" s="294"/>
      <c r="L58" s="28"/>
      <c r="M58" s="293">
        <v>0.35</v>
      </c>
      <c r="N58" s="295"/>
      <c r="P58" s="10" t="s">
        <v>39</v>
      </c>
      <c r="Q58"/>
      <c r="R58"/>
      <c r="S58"/>
    </row>
    <row r="59" spans="1:19" ht="11.25">
      <c r="A59" s="20"/>
      <c r="B59" s="22"/>
      <c r="C59" s="4"/>
      <c r="D59" s="4"/>
      <c r="E59" s="3"/>
      <c r="F59" s="29" t="s">
        <v>0</v>
      </c>
      <c r="G59" s="293">
        <v>-0.118</v>
      </c>
      <c r="H59" s="294"/>
      <c r="I59" s="28"/>
      <c r="J59" s="293">
        <v>0.155</v>
      </c>
      <c r="K59" s="294"/>
      <c r="L59" s="28"/>
      <c r="M59" s="293">
        <v>-0.074</v>
      </c>
      <c r="N59" s="295"/>
      <c r="P59" s="10" t="s">
        <v>40</v>
      </c>
      <c r="Q59"/>
      <c r="R59"/>
      <c r="S59"/>
    </row>
    <row r="60" spans="1:14" ht="11.25">
      <c r="A60" s="21" t="s">
        <v>1</v>
      </c>
      <c r="B60" s="28"/>
      <c r="C60" s="28"/>
      <c r="D60" s="28"/>
      <c r="E60" s="28"/>
      <c r="F60" s="28"/>
      <c r="G60" s="28"/>
      <c r="H60" s="28"/>
      <c r="I60" s="28"/>
      <c r="J60" s="28"/>
      <c r="K60" s="28"/>
      <c r="L60" s="28"/>
      <c r="M60" s="28"/>
      <c r="N60" s="33"/>
    </row>
    <row r="61" spans="1:16" ht="11.25">
      <c r="A61" s="37"/>
      <c r="B61" s="28"/>
      <c r="C61" s="28"/>
      <c r="D61" s="28"/>
      <c r="E61" s="28"/>
      <c r="F61" s="28"/>
      <c r="G61" s="28"/>
      <c r="H61" s="28"/>
      <c r="I61" s="28"/>
      <c r="J61" s="28"/>
      <c r="K61" s="28"/>
      <c r="L61" s="28"/>
      <c r="M61" s="28"/>
      <c r="N61" s="33"/>
      <c r="P61" t="s">
        <v>35</v>
      </c>
    </row>
    <row r="62" spans="1:14" ht="11.25">
      <c r="A62" s="38"/>
      <c r="B62" s="23"/>
      <c r="C62" s="23"/>
      <c r="D62" s="23"/>
      <c r="E62" s="23"/>
      <c r="F62" s="23"/>
      <c r="G62" s="23"/>
      <c r="H62" s="23"/>
      <c r="I62" s="23"/>
      <c r="J62" s="23"/>
      <c r="K62" s="23"/>
      <c r="L62" s="23"/>
      <c r="M62" s="23"/>
      <c r="N62" s="24"/>
    </row>
    <row r="63" spans="1:14" ht="11.25">
      <c r="A63" s="38"/>
      <c r="B63" s="23"/>
      <c r="C63" s="23"/>
      <c r="D63" s="23"/>
      <c r="E63" s="23"/>
      <c r="F63" s="23"/>
      <c r="G63" s="23"/>
      <c r="H63" s="23"/>
      <c r="I63" s="23"/>
      <c r="J63" s="23"/>
      <c r="K63" s="23"/>
      <c r="L63" s="23"/>
      <c r="M63" s="23"/>
      <c r="N63" s="24"/>
    </row>
    <row r="64" spans="1:16" ht="11.25">
      <c r="A64" s="38"/>
      <c r="B64" s="23"/>
      <c r="C64" s="23"/>
      <c r="D64" s="23"/>
      <c r="E64" s="23"/>
      <c r="F64" s="23"/>
      <c r="G64" s="23"/>
      <c r="H64" s="23"/>
      <c r="I64" s="23"/>
      <c r="J64" s="23"/>
      <c r="K64" s="23"/>
      <c r="L64" s="23"/>
      <c r="M64" s="23"/>
      <c r="N64" s="24"/>
      <c r="P64" s="44" t="s">
        <v>41</v>
      </c>
    </row>
    <row r="65" spans="1:14" ht="11.25">
      <c r="A65" s="38"/>
      <c r="B65" s="23"/>
      <c r="C65" s="23"/>
      <c r="D65" s="23"/>
      <c r="E65" s="23"/>
      <c r="F65" s="23"/>
      <c r="G65" s="23"/>
      <c r="H65" s="23"/>
      <c r="I65" s="23"/>
      <c r="J65" s="23"/>
      <c r="K65" s="23"/>
      <c r="L65" s="23"/>
      <c r="M65" s="23"/>
      <c r="N65" s="24"/>
    </row>
    <row r="66" spans="1:14" ht="12.75" thickBot="1">
      <c r="A66" s="39"/>
      <c r="B66" s="40"/>
      <c r="C66" s="40"/>
      <c r="D66" s="40"/>
      <c r="E66" s="40"/>
      <c r="F66" s="40"/>
      <c r="G66" s="40"/>
      <c r="H66" s="40"/>
      <c r="I66" s="40"/>
      <c r="J66" s="40"/>
      <c r="K66" s="40"/>
      <c r="L66" s="40"/>
      <c r="M66" s="40"/>
      <c r="N66" s="41"/>
    </row>
  </sheetData>
  <mergeCells count="122">
    <mergeCell ref="G5:H5"/>
    <mergeCell ref="G6:H6"/>
    <mergeCell ref="G7:H7"/>
    <mergeCell ref="G8:H8"/>
    <mergeCell ref="G9:H9"/>
    <mergeCell ref="J9:K9"/>
    <mergeCell ref="G2:N2"/>
    <mergeCell ref="G3:H3"/>
    <mergeCell ref="J3:K3"/>
    <mergeCell ref="M3:N3"/>
    <mergeCell ref="G4:H4"/>
    <mergeCell ref="J4:K4"/>
    <mergeCell ref="M4:N4"/>
    <mergeCell ref="G13:H13"/>
    <mergeCell ref="J13:K13"/>
    <mergeCell ref="M13:N13"/>
    <mergeCell ref="G14:H14"/>
    <mergeCell ref="J14:K14"/>
    <mergeCell ref="M14:N14"/>
    <mergeCell ref="M9:N9"/>
    <mergeCell ref="G11:H11"/>
    <mergeCell ref="J11:K11"/>
    <mergeCell ref="M11:N11"/>
    <mergeCell ref="G12:H12"/>
    <mergeCell ref="J12:K12"/>
    <mergeCell ref="M12:N12"/>
    <mergeCell ref="G18:H18"/>
    <mergeCell ref="J18:K18"/>
    <mergeCell ref="M18:N18"/>
    <mergeCell ref="G19:H19"/>
    <mergeCell ref="J19:K19"/>
    <mergeCell ref="M19:N19"/>
    <mergeCell ref="G15:H15"/>
    <mergeCell ref="J15:K15"/>
    <mergeCell ref="M15:N15"/>
    <mergeCell ref="G16:H16"/>
    <mergeCell ref="J16:K16"/>
    <mergeCell ref="M16:N16"/>
    <mergeCell ref="G22:H22"/>
    <mergeCell ref="J22:K22"/>
    <mergeCell ref="M22:N22"/>
    <mergeCell ref="G24:H24"/>
    <mergeCell ref="J24:K24"/>
    <mergeCell ref="M24:N24"/>
    <mergeCell ref="G20:H20"/>
    <mergeCell ref="J20:K20"/>
    <mergeCell ref="M20:N20"/>
    <mergeCell ref="G21:H21"/>
    <mergeCell ref="J21:K21"/>
    <mergeCell ref="M21:N21"/>
    <mergeCell ref="G28:H28"/>
    <mergeCell ref="J28:K28"/>
    <mergeCell ref="M28:N28"/>
    <mergeCell ref="G29:H29"/>
    <mergeCell ref="J29:K29"/>
    <mergeCell ref="M29:N29"/>
    <mergeCell ref="G25:H25"/>
    <mergeCell ref="J25:K25"/>
    <mergeCell ref="M25:N25"/>
    <mergeCell ref="G27:H27"/>
    <mergeCell ref="J27:K27"/>
    <mergeCell ref="M27:N27"/>
    <mergeCell ref="G34:H34"/>
    <mergeCell ref="J34:K34"/>
    <mergeCell ref="M34:N34"/>
    <mergeCell ref="G35:H35"/>
    <mergeCell ref="J35:K35"/>
    <mergeCell ref="M35:N35"/>
    <mergeCell ref="G31:H31"/>
    <mergeCell ref="J31:K31"/>
    <mergeCell ref="M31:N31"/>
    <mergeCell ref="G33:H33"/>
    <mergeCell ref="J33:K33"/>
    <mergeCell ref="M33:N33"/>
    <mergeCell ref="G39:H39"/>
    <mergeCell ref="J39:K39"/>
    <mergeCell ref="M39:N39"/>
    <mergeCell ref="G40:H40"/>
    <mergeCell ref="J40:K40"/>
    <mergeCell ref="M40:N40"/>
    <mergeCell ref="G36:H36"/>
    <mergeCell ref="J36:K36"/>
    <mergeCell ref="M36:N36"/>
    <mergeCell ref="G38:H38"/>
    <mergeCell ref="J38:K38"/>
    <mergeCell ref="M38:N38"/>
    <mergeCell ref="G51:H51"/>
    <mergeCell ref="J51:K51"/>
    <mergeCell ref="M51:N51"/>
    <mergeCell ref="G52:H52"/>
    <mergeCell ref="J52:K52"/>
    <mergeCell ref="M52:N52"/>
    <mergeCell ref="G41:H41"/>
    <mergeCell ref="J41:K41"/>
    <mergeCell ref="M41:N41"/>
    <mergeCell ref="G43:H43"/>
    <mergeCell ref="J43:K43"/>
    <mergeCell ref="M43:N43"/>
    <mergeCell ref="G59:H59"/>
    <mergeCell ref="J59:K59"/>
    <mergeCell ref="M59:N59"/>
    <mergeCell ref="G44:H44"/>
    <mergeCell ref="J44:K44"/>
    <mergeCell ref="M44:N44"/>
    <mergeCell ref="G57:H57"/>
    <mergeCell ref="J57:K57"/>
    <mergeCell ref="M57:N57"/>
    <mergeCell ref="G58:H58"/>
    <mergeCell ref="J58:K58"/>
    <mergeCell ref="M58:N58"/>
    <mergeCell ref="G55:H55"/>
    <mergeCell ref="J55:K55"/>
    <mergeCell ref="M55:N55"/>
    <mergeCell ref="G56:H56"/>
    <mergeCell ref="J56:K56"/>
    <mergeCell ref="M56:N56"/>
    <mergeCell ref="G53:H53"/>
    <mergeCell ref="J53:K53"/>
    <mergeCell ref="M53:N53"/>
    <mergeCell ref="G54:H54"/>
    <mergeCell ref="J54:K54"/>
    <mergeCell ref="M54:N54"/>
  </mergeCells>
  <printOptions/>
  <pageMargins left="0.25" right="0.25" top="0.75" bottom="0.75" header="0.3" footer="0.3"/>
  <pageSetup fitToHeight="1" fitToWidth="1" horizontalDpi="1200" verticalDpi="1200" orientation="portrait" scale="94" r:id="rId3"/>
  <colBreaks count="1" manualBreakCount="1">
    <brk id="14" max="16383" man="1"/>
  </colBreaks>
  <legacy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V66"/>
  <sheetViews>
    <sheetView showGridLines="0" workbookViewId="0" topLeftCell="A13">
      <selection activeCell="M43" sqref="M43:N43"/>
    </sheetView>
  </sheetViews>
  <sheetFormatPr defaultColWidth="9.00390625" defaultRowHeight="11.25"/>
  <cols>
    <col min="1" max="1" width="4.625" style="1" customWidth="1"/>
    <col min="2" max="5" width="9.00390625" style="1" customWidth="1"/>
    <col min="6" max="6" width="7.125" style="1" customWidth="1"/>
    <col min="7" max="8" width="9.125" style="1" customWidth="1"/>
    <col min="9" max="9" width="1.75390625" style="1" customWidth="1"/>
    <col min="10" max="11" width="9.125" style="1" customWidth="1"/>
    <col min="12" max="12" width="1.75390625" style="1" customWidth="1"/>
    <col min="13" max="14" width="9.125" style="1" customWidth="1"/>
    <col min="15" max="15" width="3.75390625" style="10" customWidth="1"/>
    <col min="16" max="16384" width="9.00390625" style="10" customWidth="1"/>
  </cols>
  <sheetData>
    <row r="1" spans="1:14" s="12" customFormat="1" ht="11.25">
      <c r="A1" s="17" t="s">
        <v>88</v>
      </c>
      <c r="B1" s="18"/>
      <c r="C1" s="18"/>
      <c r="D1" s="18"/>
      <c r="E1" s="18"/>
      <c r="F1" s="18"/>
      <c r="G1" s="18"/>
      <c r="H1" s="18"/>
      <c r="I1" s="18"/>
      <c r="J1" s="18"/>
      <c r="K1" s="18"/>
      <c r="L1" s="18"/>
      <c r="M1" s="18"/>
      <c r="N1" s="19"/>
    </row>
    <row r="2" spans="1:16" s="12" customFormat="1" ht="11.25">
      <c r="A2" s="20" t="s">
        <v>89</v>
      </c>
      <c r="B2" s="15"/>
      <c r="C2" s="15"/>
      <c r="D2" s="15"/>
      <c r="E2" s="15"/>
      <c r="F2" s="15"/>
      <c r="G2" s="328" t="s">
        <v>26</v>
      </c>
      <c r="H2" s="328"/>
      <c r="I2" s="328"/>
      <c r="J2" s="328"/>
      <c r="K2" s="328"/>
      <c r="L2" s="328"/>
      <c r="M2" s="328"/>
      <c r="N2" s="329"/>
      <c r="P2" s="43" t="s">
        <v>27</v>
      </c>
    </row>
    <row r="3" spans="1:14" ht="11.25">
      <c r="A3" s="45"/>
      <c r="B3" s="2"/>
      <c r="C3" s="2"/>
      <c r="D3" s="2"/>
      <c r="E3" s="2"/>
      <c r="F3" s="16" t="s">
        <v>14</v>
      </c>
      <c r="G3" s="330">
        <v>19</v>
      </c>
      <c r="H3" s="327"/>
      <c r="I3" s="2"/>
      <c r="J3" s="330">
        <v>18</v>
      </c>
      <c r="K3" s="327"/>
      <c r="L3" s="2"/>
      <c r="M3" s="330">
        <v>17</v>
      </c>
      <c r="N3" s="331"/>
    </row>
    <row r="4" spans="1:14" ht="11.25">
      <c r="A4" s="20"/>
      <c r="B4" s="2"/>
      <c r="C4" s="2"/>
      <c r="D4" s="2"/>
      <c r="E4" s="2"/>
      <c r="F4" s="16" t="s">
        <v>15</v>
      </c>
      <c r="G4" s="330" t="s">
        <v>80</v>
      </c>
      <c r="H4" s="327"/>
      <c r="I4" s="2"/>
      <c r="J4" s="330" t="s">
        <v>81</v>
      </c>
      <c r="K4" s="327"/>
      <c r="L4" s="2"/>
      <c r="M4" s="330" t="s">
        <v>82</v>
      </c>
      <c r="N4" s="331"/>
    </row>
    <row r="5" spans="1:14" ht="11.25">
      <c r="A5" s="20"/>
      <c r="B5" s="2"/>
      <c r="C5" s="2"/>
      <c r="D5" s="2"/>
      <c r="E5" s="2"/>
      <c r="F5" s="16" t="s">
        <v>16</v>
      </c>
      <c r="G5" s="321" t="s">
        <v>95</v>
      </c>
      <c r="H5" s="322"/>
      <c r="I5" s="2"/>
      <c r="J5" s="28"/>
      <c r="K5" s="28"/>
      <c r="L5" s="28"/>
      <c r="M5" s="28"/>
      <c r="N5" s="33"/>
    </row>
    <row r="6" spans="1:14" ht="11.25">
      <c r="A6" s="20"/>
      <c r="B6" s="2"/>
      <c r="C6" s="2"/>
      <c r="D6" s="2"/>
      <c r="E6" s="2"/>
      <c r="F6" s="16" t="s">
        <v>17</v>
      </c>
      <c r="G6" s="323" t="s">
        <v>140</v>
      </c>
      <c r="H6" s="323"/>
      <c r="I6" s="2"/>
      <c r="J6" s="28"/>
      <c r="K6" s="28"/>
      <c r="L6" s="28"/>
      <c r="M6" s="28"/>
      <c r="N6" s="33"/>
    </row>
    <row r="7" spans="1:14" ht="11.25">
      <c r="A7" s="20"/>
      <c r="B7" s="2"/>
      <c r="C7" s="2"/>
      <c r="D7" s="2"/>
      <c r="E7" s="2"/>
      <c r="F7" s="16" t="s">
        <v>33</v>
      </c>
      <c r="G7" s="324" t="s">
        <v>101</v>
      </c>
      <c r="H7" s="325"/>
      <c r="I7" s="2"/>
      <c r="J7" s="28"/>
      <c r="K7" s="28"/>
      <c r="L7" s="28"/>
      <c r="M7" s="28"/>
      <c r="N7" s="33"/>
    </row>
    <row r="8" spans="1:14" ht="11.25">
      <c r="A8" s="20"/>
      <c r="B8" s="2"/>
      <c r="C8" s="2"/>
      <c r="D8" s="2"/>
      <c r="E8" s="2"/>
      <c r="F8" s="16" t="s">
        <v>18</v>
      </c>
      <c r="G8" s="326">
        <v>43923</v>
      </c>
      <c r="H8" s="327"/>
      <c r="I8" s="2"/>
      <c r="J8" s="28"/>
      <c r="K8" s="28"/>
      <c r="L8" s="28"/>
      <c r="M8" s="28"/>
      <c r="N8" s="33"/>
    </row>
    <row r="9" spans="1:14" ht="12.75">
      <c r="A9" s="21" t="s">
        <v>2</v>
      </c>
      <c r="B9" s="22"/>
      <c r="C9" s="4"/>
      <c r="D9" s="4"/>
      <c r="E9" s="3"/>
      <c r="F9" s="3"/>
      <c r="G9" s="319"/>
      <c r="H9" s="319"/>
      <c r="I9" s="3"/>
      <c r="J9" s="319"/>
      <c r="K9" s="319"/>
      <c r="L9" s="3"/>
      <c r="M9" s="319"/>
      <c r="N9" s="320"/>
    </row>
    <row r="10" spans="1:15" ht="12.75">
      <c r="A10" s="20"/>
      <c r="B10" s="22" t="s">
        <v>56</v>
      </c>
      <c r="C10" s="4"/>
      <c r="D10" s="4"/>
      <c r="E10" s="3"/>
      <c r="F10" s="29"/>
      <c r="G10" s="58"/>
      <c r="H10" s="58"/>
      <c r="I10" s="5"/>
      <c r="J10" s="58"/>
      <c r="K10" s="58"/>
      <c r="L10" s="5"/>
      <c r="M10" s="58"/>
      <c r="N10" s="59"/>
      <c r="O10" s="11"/>
    </row>
    <row r="11" spans="1:16" ht="11.25">
      <c r="A11" s="20"/>
      <c r="B11" s="22"/>
      <c r="C11" s="6"/>
      <c r="D11" s="6"/>
      <c r="E11" s="7"/>
      <c r="F11" s="30" t="s">
        <v>7</v>
      </c>
      <c r="G11" s="313">
        <v>10174</v>
      </c>
      <c r="H11" s="314"/>
      <c r="I11" s="5"/>
      <c r="J11" s="313">
        <v>13109</v>
      </c>
      <c r="K11" s="314"/>
      <c r="L11" s="5"/>
      <c r="M11" s="313">
        <v>14517</v>
      </c>
      <c r="N11" s="315"/>
      <c r="P11" s="10" t="s">
        <v>28</v>
      </c>
    </row>
    <row r="12" spans="1:16" ht="12.75">
      <c r="A12" s="20"/>
      <c r="B12" s="22"/>
      <c r="C12" s="4"/>
      <c r="D12" s="4"/>
      <c r="E12" s="3"/>
      <c r="F12" s="29" t="s">
        <v>5</v>
      </c>
      <c r="G12" s="316">
        <v>-0.163</v>
      </c>
      <c r="H12" s="317"/>
      <c r="I12" s="5"/>
      <c r="J12" s="316">
        <v>-0.026</v>
      </c>
      <c r="K12" s="317"/>
      <c r="L12" s="5"/>
      <c r="M12" s="316">
        <v>-0.066</v>
      </c>
      <c r="N12" s="318"/>
      <c r="O12" s="11"/>
      <c r="P12" s="10" t="s">
        <v>29</v>
      </c>
    </row>
    <row r="13" spans="1:16" ht="12.75">
      <c r="A13" s="20"/>
      <c r="B13" s="22"/>
      <c r="C13" s="4"/>
      <c r="D13" s="4"/>
      <c r="E13" s="3"/>
      <c r="F13" s="29" t="s">
        <v>53</v>
      </c>
      <c r="G13" s="313">
        <v>3</v>
      </c>
      <c r="H13" s="314"/>
      <c r="I13" s="5"/>
      <c r="J13" s="313">
        <v>3</v>
      </c>
      <c r="K13" s="314"/>
      <c r="L13" s="5"/>
      <c r="M13" s="313">
        <v>3</v>
      </c>
      <c r="N13" s="315"/>
      <c r="O13" s="11"/>
      <c r="P13" s="10" t="s">
        <v>71</v>
      </c>
    </row>
    <row r="14" spans="1:16" ht="12.75">
      <c r="A14" s="20"/>
      <c r="B14" s="22"/>
      <c r="C14" s="4"/>
      <c r="D14" s="4"/>
      <c r="E14" s="3"/>
      <c r="F14" s="29" t="s">
        <v>54</v>
      </c>
      <c r="G14" s="313">
        <v>92</v>
      </c>
      <c r="H14" s="314"/>
      <c r="I14" s="5"/>
      <c r="J14" s="313">
        <f>26+22+51</f>
        <v>99</v>
      </c>
      <c r="K14" s="314"/>
      <c r="L14" s="5"/>
      <c r="M14" s="313">
        <f>29+17+62</f>
        <v>108</v>
      </c>
      <c r="N14" s="315"/>
      <c r="O14" s="11"/>
      <c r="P14" s="10" t="s">
        <v>70</v>
      </c>
    </row>
    <row r="15" spans="1:16" ht="12.75">
      <c r="A15" s="20"/>
      <c r="B15" s="22"/>
      <c r="C15" s="4"/>
      <c r="D15" s="4"/>
      <c r="E15" s="3"/>
      <c r="F15" s="29" t="s">
        <v>55</v>
      </c>
      <c r="G15" s="313">
        <v>37</v>
      </c>
      <c r="H15" s="314"/>
      <c r="I15" s="5"/>
      <c r="J15" s="313">
        <v>32</v>
      </c>
      <c r="K15" s="314"/>
      <c r="L15" s="5"/>
      <c r="M15" s="313">
        <v>29</v>
      </c>
      <c r="N15" s="315"/>
      <c r="O15" s="11"/>
      <c r="P15" s="10" t="s">
        <v>69</v>
      </c>
    </row>
    <row r="16" spans="1:16" ht="12.75">
      <c r="A16" s="20"/>
      <c r="B16" s="22"/>
      <c r="C16" s="4"/>
      <c r="D16" s="4"/>
      <c r="E16" s="3"/>
      <c r="F16" s="29" t="s">
        <v>78</v>
      </c>
      <c r="G16" s="313">
        <v>37</v>
      </c>
      <c r="H16" s="314"/>
      <c r="I16" s="5"/>
      <c r="J16" s="313">
        <v>46</v>
      </c>
      <c r="K16" s="314"/>
      <c r="L16" s="5"/>
      <c r="M16" s="313">
        <v>31</v>
      </c>
      <c r="N16" s="315"/>
      <c r="O16" s="11"/>
      <c r="P16" s="10" t="s">
        <v>86</v>
      </c>
    </row>
    <row r="17" spans="1:15" ht="12.75">
      <c r="A17" s="20"/>
      <c r="B17" s="22" t="s">
        <v>57</v>
      </c>
      <c r="C17" s="4"/>
      <c r="D17" s="4"/>
      <c r="E17" s="3"/>
      <c r="F17" s="29"/>
      <c r="G17" s="58"/>
      <c r="H17" s="58"/>
      <c r="I17" s="5"/>
      <c r="J17" s="58"/>
      <c r="K17" s="58"/>
      <c r="L17" s="5"/>
      <c r="M17" s="58"/>
      <c r="N17" s="59"/>
      <c r="O17" s="11"/>
    </row>
    <row r="18" spans="1:16" ht="11.25">
      <c r="A18" s="20"/>
      <c r="B18" s="22"/>
      <c r="C18" s="6"/>
      <c r="D18" s="6"/>
      <c r="E18" s="7"/>
      <c r="F18" s="30" t="s">
        <v>7</v>
      </c>
      <c r="G18" s="313">
        <v>340</v>
      </c>
      <c r="H18" s="314"/>
      <c r="I18" s="5"/>
      <c r="J18" s="313">
        <v>275</v>
      </c>
      <c r="K18" s="314"/>
      <c r="L18" s="5"/>
      <c r="M18" s="313">
        <v>274</v>
      </c>
      <c r="N18" s="315"/>
      <c r="P18" s="10" t="s">
        <v>28</v>
      </c>
    </row>
    <row r="19" spans="1:16" ht="12.75">
      <c r="A19" s="20"/>
      <c r="B19" s="22"/>
      <c r="C19" s="4"/>
      <c r="D19" s="4"/>
      <c r="E19" s="3"/>
      <c r="F19" s="29" t="s">
        <v>5</v>
      </c>
      <c r="G19" s="316">
        <v>0.114</v>
      </c>
      <c r="H19" s="317"/>
      <c r="I19" s="5"/>
      <c r="J19" s="316">
        <v>-0.057</v>
      </c>
      <c r="K19" s="317"/>
      <c r="L19" s="5"/>
      <c r="M19" s="316">
        <v>-0.205</v>
      </c>
      <c r="N19" s="318"/>
      <c r="O19" s="11"/>
      <c r="P19" s="10" t="s">
        <v>29</v>
      </c>
    </row>
    <row r="20" spans="1:16" ht="12.75">
      <c r="A20" s="20"/>
      <c r="B20" s="22"/>
      <c r="C20" s="4"/>
      <c r="D20" s="4"/>
      <c r="E20" s="3"/>
      <c r="F20" s="29" t="s">
        <v>58</v>
      </c>
      <c r="G20" s="313">
        <v>1</v>
      </c>
      <c r="H20" s="314"/>
      <c r="I20" s="5"/>
      <c r="J20" s="313">
        <v>1</v>
      </c>
      <c r="K20" s="314"/>
      <c r="L20" s="5"/>
      <c r="M20" s="313">
        <v>1</v>
      </c>
      <c r="N20" s="315"/>
      <c r="O20" s="11"/>
      <c r="P20" s="10" t="s">
        <v>71</v>
      </c>
    </row>
    <row r="21" spans="1:16" ht="12.75">
      <c r="A21" s="20"/>
      <c r="B21" s="22"/>
      <c r="C21" s="4"/>
      <c r="D21" s="4"/>
      <c r="E21" s="3"/>
      <c r="F21" s="29" t="s">
        <v>59</v>
      </c>
      <c r="G21" s="313">
        <v>27</v>
      </c>
      <c r="H21" s="314"/>
      <c r="I21" s="5"/>
      <c r="J21" s="313">
        <v>16</v>
      </c>
      <c r="K21" s="314"/>
      <c r="L21" s="5"/>
      <c r="M21" s="313">
        <v>16</v>
      </c>
      <c r="N21" s="315"/>
      <c r="O21" s="11"/>
      <c r="P21" s="10" t="s">
        <v>83</v>
      </c>
    </row>
    <row r="22" spans="1:16" ht="12.75">
      <c r="A22" s="20"/>
      <c r="B22" s="22"/>
      <c r="C22" s="4"/>
      <c r="D22" s="4"/>
      <c r="E22" s="3"/>
      <c r="F22" s="29" t="s">
        <v>78</v>
      </c>
      <c r="G22" s="313">
        <v>6</v>
      </c>
      <c r="H22" s="314"/>
      <c r="I22" s="5"/>
      <c r="J22" s="313">
        <v>11</v>
      </c>
      <c r="K22" s="314"/>
      <c r="L22" s="5"/>
      <c r="M22" s="313">
        <v>4</v>
      </c>
      <c r="N22" s="315"/>
      <c r="O22" s="11"/>
      <c r="P22" s="10" t="s">
        <v>86</v>
      </c>
    </row>
    <row r="23" spans="1:14" ht="11.25">
      <c r="A23" s="20"/>
      <c r="B23" s="4" t="s">
        <v>6</v>
      </c>
      <c r="C23" s="4"/>
      <c r="D23" s="4"/>
      <c r="E23" s="3"/>
      <c r="F23" s="3"/>
      <c r="G23" s="23"/>
      <c r="H23" s="23"/>
      <c r="I23" s="5"/>
      <c r="J23" s="23"/>
      <c r="K23" s="23"/>
      <c r="L23" s="5"/>
      <c r="M23" s="23"/>
      <c r="N23" s="24"/>
    </row>
    <row r="24" spans="1:16" ht="11.25">
      <c r="A24" s="20"/>
      <c r="B24" s="22"/>
      <c r="C24" s="4"/>
      <c r="D24" s="4"/>
      <c r="E24" s="3"/>
      <c r="F24" s="29" t="s">
        <v>20</v>
      </c>
      <c r="G24" s="293">
        <v>0.26</v>
      </c>
      <c r="H24" s="294"/>
      <c r="I24" s="3"/>
      <c r="J24" s="293">
        <v>0.197</v>
      </c>
      <c r="K24" s="294"/>
      <c r="L24" s="3"/>
      <c r="M24" s="293">
        <v>0.179</v>
      </c>
      <c r="N24" s="295"/>
      <c r="P24" s="10" t="s">
        <v>30</v>
      </c>
    </row>
    <row r="25" spans="1:16" ht="11.25">
      <c r="A25" s="20"/>
      <c r="B25" s="22"/>
      <c r="C25" s="4"/>
      <c r="D25" s="4"/>
      <c r="E25" s="3"/>
      <c r="F25" s="29" t="s">
        <v>21</v>
      </c>
      <c r="G25" s="293">
        <v>0.74</v>
      </c>
      <c r="H25" s="294"/>
      <c r="I25" s="3"/>
      <c r="J25" s="293">
        <v>0.803</v>
      </c>
      <c r="K25" s="294"/>
      <c r="L25" s="3"/>
      <c r="M25" s="293">
        <v>0.821</v>
      </c>
      <c r="N25" s="295"/>
      <c r="P25" s="10" t="s">
        <v>31</v>
      </c>
    </row>
    <row r="26" spans="1:14" ht="11.25">
      <c r="A26" s="62" t="s">
        <v>60</v>
      </c>
      <c r="B26" s="22"/>
      <c r="C26" s="4"/>
      <c r="D26" s="4"/>
      <c r="E26" s="3"/>
      <c r="F26" s="29"/>
      <c r="G26" s="60"/>
      <c r="H26" s="60"/>
      <c r="I26" s="5"/>
      <c r="J26" s="60"/>
      <c r="K26" s="60"/>
      <c r="L26" s="5"/>
      <c r="M26" s="60"/>
      <c r="N26" s="61"/>
    </row>
    <row r="27" spans="1:16" ht="11.25">
      <c r="A27" s="20"/>
      <c r="B27" s="22"/>
      <c r="C27" s="4"/>
      <c r="D27" s="4"/>
      <c r="E27" s="3"/>
      <c r="F27" s="29" t="s">
        <v>61</v>
      </c>
      <c r="G27" s="313">
        <f>960772.8-G28</f>
        <v>922081.5</v>
      </c>
      <c r="H27" s="314"/>
      <c r="I27" s="5"/>
      <c r="J27" s="313">
        <f>1050443.84-J28</f>
        <v>1014057.1000000001</v>
      </c>
      <c r="K27" s="314"/>
      <c r="L27" s="5"/>
      <c r="M27" s="313">
        <f>1066846.14-M28</f>
        <v>1030892.7299999999</v>
      </c>
      <c r="N27" s="315"/>
      <c r="P27" s="10" t="s">
        <v>91</v>
      </c>
    </row>
    <row r="28" spans="1:16" ht="11.25">
      <c r="A28" s="20"/>
      <c r="B28" s="22"/>
      <c r="C28" s="4"/>
      <c r="D28" s="4"/>
      <c r="E28" s="3"/>
      <c r="F28" s="29" t="s">
        <v>62</v>
      </c>
      <c r="G28" s="313">
        <v>38691.3</v>
      </c>
      <c r="H28" s="314"/>
      <c r="I28" s="5"/>
      <c r="J28" s="313">
        <v>36386.74</v>
      </c>
      <c r="K28" s="314"/>
      <c r="L28" s="5"/>
      <c r="M28" s="313">
        <v>35953.41</v>
      </c>
      <c r="N28" s="315"/>
      <c r="P28" s="10" t="s">
        <v>91</v>
      </c>
    </row>
    <row r="29" spans="1:16" ht="11.25">
      <c r="A29" s="20"/>
      <c r="B29" s="22"/>
      <c r="C29" s="4"/>
      <c r="D29" s="4"/>
      <c r="E29" s="3"/>
      <c r="F29" s="29" t="s">
        <v>63</v>
      </c>
      <c r="G29" s="310">
        <v>301715.71</v>
      </c>
      <c r="H29" s="311"/>
      <c r="I29" s="5"/>
      <c r="J29" s="310">
        <v>313443.55</v>
      </c>
      <c r="K29" s="311"/>
      <c r="L29" s="5"/>
      <c r="M29" s="310">
        <v>331973.07</v>
      </c>
      <c r="N29" s="312"/>
      <c r="P29" s="10" t="s">
        <v>90</v>
      </c>
    </row>
    <row r="30" spans="1:14" ht="11.25">
      <c r="A30" s="20"/>
      <c r="B30" s="22"/>
      <c r="C30" s="4"/>
      <c r="D30" s="4"/>
      <c r="E30" s="3"/>
      <c r="F30" s="29"/>
      <c r="G30" s="73"/>
      <c r="H30" s="74"/>
      <c r="I30" s="5"/>
      <c r="J30" s="73"/>
      <c r="K30" s="74"/>
      <c r="L30" s="5"/>
      <c r="M30" s="73"/>
      <c r="N30" s="75"/>
    </row>
    <row r="31" spans="1:18" ht="11.25">
      <c r="A31" s="20"/>
      <c r="B31" s="4"/>
      <c r="C31" s="4"/>
      <c r="D31" s="4"/>
      <c r="E31" s="3"/>
      <c r="F31" s="63" t="s">
        <v>64</v>
      </c>
      <c r="G31" s="299">
        <f>(SUM(G27:G29))/(G11+G18)</f>
        <v>120.07689842115275</v>
      </c>
      <c r="H31" s="300"/>
      <c r="I31" s="22"/>
      <c r="J31" s="299">
        <f>SUM(J27:K29)/(J11+J18)</f>
        <v>101.90431784219965</v>
      </c>
      <c r="K31" s="300"/>
      <c r="L31" s="22"/>
      <c r="M31" s="299">
        <f>SUM(M27:N29)/(M11+M18)</f>
        <v>94.57232168210398</v>
      </c>
      <c r="N31" s="301"/>
      <c r="O31"/>
      <c r="P31" t="s">
        <v>32</v>
      </c>
      <c r="Q31"/>
      <c r="R31"/>
    </row>
    <row r="32" spans="1:14" ht="11.25">
      <c r="A32" s="21" t="s">
        <v>3</v>
      </c>
      <c r="B32" s="22"/>
      <c r="C32" s="4"/>
      <c r="D32" s="4"/>
      <c r="E32" s="3"/>
      <c r="F32" s="3"/>
      <c r="G32" s="8"/>
      <c r="H32" s="8"/>
      <c r="I32" s="3"/>
      <c r="J32" s="8"/>
      <c r="K32" s="8"/>
      <c r="L32" s="3"/>
      <c r="M32" s="8"/>
      <c r="N32" s="25"/>
    </row>
    <row r="33" spans="1:22" ht="11.25">
      <c r="A33" s="20"/>
      <c r="B33" s="22"/>
      <c r="C33" s="4"/>
      <c r="D33" s="48"/>
      <c r="E33" s="49"/>
      <c r="F33" s="50" t="s">
        <v>43</v>
      </c>
      <c r="G33" s="302">
        <f>5.7+1.8</f>
        <v>7.5</v>
      </c>
      <c r="H33" s="303"/>
      <c r="I33" s="56"/>
      <c r="J33" s="302">
        <f>6.8+1.9</f>
        <v>8.7</v>
      </c>
      <c r="K33" s="303"/>
      <c r="L33" s="56"/>
      <c r="M33" s="302">
        <f>6+1</f>
        <v>7</v>
      </c>
      <c r="N33" s="304"/>
      <c r="O33"/>
      <c r="P33" s="46" t="s">
        <v>47</v>
      </c>
      <c r="Q33" s="47"/>
      <c r="R33" s="47"/>
      <c r="S33" s="46"/>
      <c r="T33" s="46"/>
      <c r="U33" s="46"/>
      <c r="V33" s="46"/>
    </row>
    <row r="34" spans="1:22" ht="11.25">
      <c r="A34" s="20"/>
      <c r="B34" s="22"/>
      <c r="C34" s="4"/>
      <c r="D34" s="48"/>
      <c r="E34" s="49"/>
      <c r="F34" s="50" t="s">
        <v>44</v>
      </c>
      <c r="G34" s="302">
        <v>1</v>
      </c>
      <c r="H34" s="303"/>
      <c r="I34" s="56"/>
      <c r="J34" s="302">
        <v>1</v>
      </c>
      <c r="K34" s="303"/>
      <c r="L34" s="56"/>
      <c r="M34" s="302">
        <v>2</v>
      </c>
      <c r="N34" s="304"/>
      <c r="O34"/>
      <c r="P34" s="46" t="s">
        <v>48</v>
      </c>
      <c r="Q34" s="47"/>
      <c r="R34" s="47"/>
      <c r="S34" s="46"/>
      <c r="T34" s="46"/>
      <c r="U34" s="46"/>
      <c r="V34" s="46"/>
    </row>
    <row r="35" spans="1:22" ht="11.25">
      <c r="A35" s="20"/>
      <c r="B35" s="22"/>
      <c r="C35" s="4"/>
      <c r="D35" s="48"/>
      <c r="E35" s="49"/>
      <c r="F35" s="50" t="s">
        <v>45</v>
      </c>
      <c r="G35" s="307">
        <f>2.8/36*45</f>
        <v>3.5</v>
      </c>
      <c r="H35" s="308"/>
      <c r="I35" s="56"/>
      <c r="J35" s="307">
        <f>4.8/36*45</f>
        <v>6</v>
      </c>
      <c r="K35" s="308"/>
      <c r="L35" s="56"/>
      <c r="M35" s="307">
        <f>4.4/36*45</f>
        <v>5.5</v>
      </c>
      <c r="N35" s="309"/>
      <c r="O35"/>
      <c r="P35" s="46" t="s">
        <v>50</v>
      </c>
      <c r="Q35" s="47"/>
      <c r="R35" s="47"/>
      <c r="S35" s="46"/>
      <c r="T35" s="46"/>
      <c r="U35" s="46"/>
      <c r="V35" s="46"/>
    </row>
    <row r="36" spans="1:22" ht="11.25">
      <c r="A36" s="20"/>
      <c r="B36" s="22"/>
      <c r="C36" s="4"/>
      <c r="D36" s="48"/>
      <c r="E36" s="49"/>
      <c r="F36" s="50" t="s">
        <v>46</v>
      </c>
      <c r="G36" s="305">
        <v>0</v>
      </c>
      <c r="H36" s="305"/>
      <c r="I36" s="56"/>
      <c r="J36" s="305">
        <v>0</v>
      </c>
      <c r="K36" s="305"/>
      <c r="L36" s="56"/>
      <c r="M36" s="305">
        <v>0</v>
      </c>
      <c r="N36" s="306"/>
      <c r="O36"/>
      <c r="P36" s="46" t="s">
        <v>49</v>
      </c>
      <c r="Q36" s="47"/>
      <c r="R36" s="47"/>
      <c r="S36" s="46"/>
      <c r="T36" s="46"/>
      <c r="U36" s="46"/>
      <c r="V36" s="46"/>
    </row>
    <row r="37" spans="1:18" s="69" customFormat="1" ht="11.25">
      <c r="A37" s="64"/>
      <c r="B37" s="65"/>
      <c r="C37" s="66"/>
      <c r="D37" s="66"/>
      <c r="E37" s="5"/>
      <c r="F37" s="67"/>
      <c r="G37" s="70"/>
      <c r="H37" s="70"/>
      <c r="I37" s="68"/>
      <c r="J37" s="70"/>
      <c r="K37" s="70"/>
      <c r="L37" s="68"/>
      <c r="M37" s="70"/>
      <c r="N37" s="71"/>
      <c r="O37" s="12"/>
      <c r="Q37" s="12"/>
      <c r="R37" s="12"/>
    </row>
    <row r="38" spans="1:22" ht="11.25">
      <c r="A38" s="20"/>
      <c r="B38" s="22"/>
      <c r="C38" s="4"/>
      <c r="D38" s="48"/>
      <c r="E38" s="49"/>
      <c r="F38" s="50" t="s">
        <v>66</v>
      </c>
      <c r="G38" s="305">
        <f>4810+1595</f>
        <v>6405</v>
      </c>
      <c r="H38" s="305"/>
      <c r="I38" s="56"/>
      <c r="J38" s="305">
        <f>5535+1775</f>
        <v>7310</v>
      </c>
      <c r="K38" s="305"/>
      <c r="L38" s="56"/>
      <c r="M38" s="305">
        <f>4205+765</f>
        <v>4970</v>
      </c>
      <c r="N38" s="306"/>
      <c r="O38"/>
      <c r="P38" s="46" t="s">
        <v>72</v>
      </c>
      <c r="Q38" s="47"/>
      <c r="R38" s="47"/>
      <c r="S38" s="46"/>
      <c r="T38" s="46"/>
      <c r="U38" s="46"/>
      <c r="V38" s="46"/>
    </row>
    <row r="39" spans="1:22" ht="11.25">
      <c r="A39" s="20"/>
      <c r="B39" s="22"/>
      <c r="C39" s="4"/>
      <c r="D39" s="48"/>
      <c r="E39" s="49"/>
      <c r="F39" s="50" t="s">
        <v>65</v>
      </c>
      <c r="G39" s="299">
        <v>1100</v>
      </c>
      <c r="H39" s="300"/>
      <c r="I39" s="56"/>
      <c r="J39" s="299">
        <v>1265</v>
      </c>
      <c r="K39" s="300"/>
      <c r="L39" s="56"/>
      <c r="M39" s="299">
        <v>1845</v>
      </c>
      <c r="N39" s="301"/>
      <c r="O39"/>
      <c r="P39" s="46" t="s">
        <v>73</v>
      </c>
      <c r="Q39" s="47"/>
      <c r="R39" s="47"/>
      <c r="S39" s="46"/>
      <c r="T39" s="46"/>
      <c r="U39" s="46"/>
      <c r="V39" s="46"/>
    </row>
    <row r="40" spans="1:22" ht="11.25">
      <c r="A40" s="20"/>
      <c r="B40" s="22"/>
      <c r="C40" s="4"/>
      <c r="D40" s="48"/>
      <c r="E40" s="49"/>
      <c r="F40" s="50" t="s">
        <v>67</v>
      </c>
      <c r="G40" s="302">
        <v>3269</v>
      </c>
      <c r="H40" s="303"/>
      <c r="I40" s="56"/>
      <c r="J40" s="302">
        <v>4997</v>
      </c>
      <c r="K40" s="303"/>
      <c r="L40" s="56"/>
      <c r="M40" s="302">
        <v>6516</v>
      </c>
      <c r="N40" s="304"/>
      <c r="O40"/>
      <c r="P40" s="46" t="s">
        <v>75</v>
      </c>
      <c r="Q40" s="47"/>
      <c r="R40" s="47"/>
      <c r="S40" s="46"/>
      <c r="T40" s="46"/>
      <c r="U40" s="46"/>
      <c r="V40" s="46"/>
    </row>
    <row r="41" spans="1:22" ht="11.25">
      <c r="A41" s="20"/>
      <c r="B41" s="22"/>
      <c r="C41" s="4"/>
      <c r="D41" s="48"/>
      <c r="E41" s="49"/>
      <c r="F41" s="50" t="s">
        <v>68</v>
      </c>
      <c r="G41" s="302">
        <v>0</v>
      </c>
      <c r="H41" s="303"/>
      <c r="I41" s="56"/>
      <c r="J41" s="302">
        <v>0</v>
      </c>
      <c r="K41" s="303"/>
      <c r="L41" s="56"/>
      <c r="M41" s="302">
        <v>0</v>
      </c>
      <c r="N41" s="304"/>
      <c r="O41"/>
      <c r="P41" s="46" t="s">
        <v>74</v>
      </c>
      <c r="Q41" s="47"/>
      <c r="R41" s="47"/>
      <c r="S41" s="46"/>
      <c r="T41" s="46"/>
      <c r="U41" s="46"/>
      <c r="V41" s="46"/>
    </row>
    <row r="42" spans="1:18" ht="11.25">
      <c r="A42" s="20"/>
      <c r="B42" s="4"/>
      <c r="C42" s="4"/>
      <c r="D42" s="4"/>
      <c r="E42" s="3"/>
      <c r="F42" s="3"/>
      <c r="G42" s="9"/>
      <c r="H42" s="9"/>
      <c r="I42" s="22"/>
      <c r="J42" s="9"/>
      <c r="K42" s="9"/>
      <c r="L42" s="22"/>
      <c r="M42" s="9"/>
      <c r="N42" s="26"/>
      <c r="O42"/>
      <c r="P42"/>
      <c r="Q42"/>
      <c r="R42"/>
    </row>
    <row r="43" spans="1:18" ht="11.25">
      <c r="A43" s="20"/>
      <c r="B43" s="22"/>
      <c r="C43" s="4"/>
      <c r="D43" s="4"/>
      <c r="E43" s="3"/>
      <c r="F43" s="29" t="s">
        <v>22</v>
      </c>
      <c r="G43" s="302">
        <f>+(G11+G18)/(G33+G34)</f>
        <v>1236.9411764705883</v>
      </c>
      <c r="H43" s="303"/>
      <c r="I43" s="22"/>
      <c r="J43" s="302">
        <f>+(J11+J18)/(J33+J34)</f>
        <v>1379.7938144329898</v>
      </c>
      <c r="K43" s="303"/>
      <c r="L43" s="22"/>
      <c r="M43" s="302">
        <f>+(M11+M18)/(M33+M34)</f>
        <v>1643.4444444444443</v>
      </c>
      <c r="N43" s="303"/>
      <c r="O43"/>
      <c r="P43" t="s">
        <v>32</v>
      </c>
      <c r="Q43"/>
      <c r="R43"/>
    </row>
    <row r="44" spans="1:18" ht="11.25">
      <c r="A44" s="20"/>
      <c r="B44" s="22"/>
      <c r="C44" s="4"/>
      <c r="D44" s="4"/>
      <c r="E44" s="3"/>
      <c r="F44" s="29" t="s">
        <v>216</v>
      </c>
      <c r="G44" s="332">
        <f>(G11+G18)/SUM(G33:H36)</f>
        <v>876.1666666666666</v>
      </c>
      <c r="H44" s="332"/>
      <c r="I44" s="22"/>
      <c r="J44" s="332">
        <f>(J11+J18)/SUM(J33:K36)</f>
        <v>852.484076433121</v>
      </c>
      <c r="K44" s="332"/>
      <c r="L44" s="22"/>
      <c r="M44" s="332">
        <f>(M11+M18)/SUM(M33:N36)</f>
        <v>1020.0689655172414</v>
      </c>
      <c r="N44" s="332"/>
      <c r="O44"/>
      <c r="P44"/>
      <c r="Q44"/>
      <c r="R44"/>
    </row>
    <row r="45" spans="1:17" ht="11.25">
      <c r="A45" s="20"/>
      <c r="B45" s="4"/>
      <c r="C45" s="4"/>
      <c r="D45" s="4"/>
      <c r="E45" s="3"/>
      <c r="F45" s="3"/>
      <c r="G45" s="34" t="s">
        <v>24</v>
      </c>
      <c r="H45" s="34" t="s">
        <v>23</v>
      </c>
      <c r="I45" s="28"/>
      <c r="J45" s="34" t="s">
        <v>24</v>
      </c>
      <c r="K45" s="34" t="s">
        <v>23</v>
      </c>
      <c r="L45" s="28"/>
      <c r="M45" s="34" t="s">
        <v>24</v>
      </c>
      <c r="N45" s="35" t="s">
        <v>23</v>
      </c>
      <c r="O45" s="14"/>
      <c r="P45" s="13"/>
      <c r="Q45" s="31"/>
    </row>
    <row r="46" spans="1:22" ht="11.25">
      <c r="A46" s="20"/>
      <c r="B46" s="4"/>
      <c r="C46" s="4"/>
      <c r="D46" s="52"/>
      <c r="E46" s="53"/>
      <c r="F46" s="54" t="s">
        <v>25</v>
      </c>
      <c r="G46" s="76">
        <v>10</v>
      </c>
      <c r="H46" s="32">
        <f>G46/(G46+G47+G48+G49)</f>
        <v>0.7751937984496123</v>
      </c>
      <c r="I46" s="28"/>
      <c r="J46" s="76">
        <v>10</v>
      </c>
      <c r="K46" s="32">
        <f>J46/(J46+J47+J48+J49)</f>
        <v>0.8333333333333334</v>
      </c>
      <c r="L46" s="28"/>
      <c r="M46" s="76">
        <v>10</v>
      </c>
      <c r="N46" s="36">
        <f>M46/(M46+M47+M48+M49)</f>
        <v>0.8333333333333334</v>
      </c>
      <c r="O46" s="14"/>
      <c r="P46" s="55" t="s">
        <v>84</v>
      </c>
      <c r="Q46" s="51"/>
      <c r="R46" s="55"/>
      <c r="S46" s="55"/>
      <c r="T46" s="55"/>
      <c r="U46" s="55"/>
      <c r="V46" s="55"/>
    </row>
    <row r="47" spans="1:22" ht="11.25">
      <c r="A47" s="20"/>
      <c r="B47" s="4"/>
      <c r="C47" s="4"/>
      <c r="D47" s="52"/>
      <c r="E47" s="53"/>
      <c r="F47" s="54" t="s">
        <v>13</v>
      </c>
      <c r="G47" s="76">
        <v>2</v>
      </c>
      <c r="H47" s="32">
        <f>G47/(G46+G47+G48+G49)</f>
        <v>0.15503875968992248</v>
      </c>
      <c r="I47" s="28"/>
      <c r="J47" s="76">
        <v>2</v>
      </c>
      <c r="K47" s="32">
        <f>J47/(J46+J47+J48+J49)</f>
        <v>0.16666666666666666</v>
      </c>
      <c r="L47" s="28"/>
      <c r="M47" s="76">
        <v>2</v>
      </c>
      <c r="N47" s="36">
        <f>M47/(M46+M47+M48+M49)</f>
        <v>0.16666666666666666</v>
      </c>
      <c r="O47" s="14"/>
      <c r="P47" s="55" t="s">
        <v>84</v>
      </c>
      <c r="Q47" s="51"/>
      <c r="R47" s="55"/>
      <c r="S47" s="55"/>
      <c r="T47" s="55"/>
      <c r="U47" s="55"/>
      <c r="V47" s="55"/>
    </row>
    <row r="48" spans="1:22" ht="11.25">
      <c r="A48" s="20"/>
      <c r="B48" s="4"/>
      <c r="C48" s="4"/>
      <c r="D48" s="52"/>
      <c r="E48" s="53"/>
      <c r="F48" s="54" t="s">
        <v>51</v>
      </c>
      <c r="G48" s="76">
        <v>0</v>
      </c>
      <c r="H48" s="32">
        <f>G48/(G46+G47+G48+G49)</f>
        <v>0</v>
      </c>
      <c r="I48" s="28"/>
      <c r="J48" s="76">
        <v>0</v>
      </c>
      <c r="K48" s="32">
        <f>J48/(J46+J47+J48+J49)</f>
        <v>0</v>
      </c>
      <c r="L48" s="28"/>
      <c r="M48" s="76">
        <v>0</v>
      </c>
      <c r="N48" s="36">
        <f>M48/(M46+M47+M48+M49)</f>
        <v>0</v>
      </c>
      <c r="O48" s="14"/>
      <c r="P48" s="55" t="s">
        <v>85</v>
      </c>
      <c r="Q48" s="51"/>
      <c r="R48" s="55"/>
      <c r="S48" s="55"/>
      <c r="T48" s="55"/>
      <c r="U48" s="55"/>
      <c r="V48" s="55"/>
    </row>
    <row r="49" spans="1:22" ht="11.25">
      <c r="A49" s="20"/>
      <c r="B49" s="4"/>
      <c r="C49" s="4"/>
      <c r="D49" s="52"/>
      <c r="E49" s="53"/>
      <c r="F49" s="54" t="s">
        <v>52</v>
      </c>
      <c r="G49" s="76">
        <v>0.9</v>
      </c>
      <c r="H49" s="32">
        <f>G49/(G46+G47+G48+G49)</f>
        <v>0.06976744186046512</v>
      </c>
      <c r="I49" s="28"/>
      <c r="J49" s="76">
        <v>0</v>
      </c>
      <c r="K49" s="32">
        <f>J49/(J46+J47+J48+J49)</f>
        <v>0</v>
      </c>
      <c r="L49" s="28"/>
      <c r="M49" s="76">
        <v>0</v>
      </c>
      <c r="N49" s="36">
        <f>M49/(M46+M47+M48+M49)</f>
        <v>0</v>
      </c>
      <c r="O49" s="14"/>
      <c r="P49" s="55" t="s">
        <v>85</v>
      </c>
      <c r="Q49" s="51"/>
      <c r="R49" s="55"/>
      <c r="S49" s="55"/>
      <c r="T49" s="55"/>
      <c r="U49" s="55"/>
      <c r="V49" s="55"/>
    </row>
    <row r="50" spans="1:14" ht="11.25">
      <c r="A50" s="21" t="s">
        <v>4</v>
      </c>
      <c r="B50" s="22"/>
      <c r="C50" s="4"/>
      <c r="D50" s="4"/>
      <c r="E50" s="3"/>
      <c r="F50" s="3"/>
      <c r="G50" s="8"/>
      <c r="H50" s="8"/>
      <c r="I50" s="3"/>
      <c r="J50" s="8"/>
      <c r="K50" s="8"/>
      <c r="L50" s="3"/>
      <c r="M50" s="8"/>
      <c r="N50" s="25"/>
    </row>
    <row r="51" spans="1:16" ht="11.25">
      <c r="A51" s="21"/>
      <c r="B51" s="22"/>
      <c r="C51" s="4"/>
      <c r="D51" s="4"/>
      <c r="E51" s="3"/>
      <c r="F51" s="63" t="s">
        <v>77</v>
      </c>
      <c r="G51" s="293">
        <v>0.881</v>
      </c>
      <c r="H51" s="294"/>
      <c r="I51" s="72"/>
      <c r="J51" s="293">
        <v>0.899</v>
      </c>
      <c r="K51" s="294"/>
      <c r="L51" s="72"/>
      <c r="M51" s="293">
        <v>0.908</v>
      </c>
      <c r="N51" s="295"/>
      <c r="P51" s="10" t="s">
        <v>87</v>
      </c>
    </row>
    <row r="52" spans="1:16" ht="11.25">
      <c r="A52" s="21"/>
      <c r="B52" s="22"/>
      <c r="C52" s="4"/>
      <c r="D52" s="4"/>
      <c r="E52" s="3"/>
      <c r="F52" s="63" t="s">
        <v>76</v>
      </c>
      <c r="G52" s="293">
        <v>0.147</v>
      </c>
      <c r="H52" s="294"/>
      <c r="I52" s="72"/>
      <c r="J52" s="293">
        <v>0.104</v>
      </c>
      <c r="K52" s="294"/>
      <c r="L52" s="72"/>
      <c r="M52" s="293">
        <v>0.094</v>
      </c>
      <c r="N52" s="295"/>
      <c r="P52" s="10" t="s">
        <v>79</v>
      </c>
    </row>
    <row r="53" spans="1:16" ht="11" customHeight="1">
      <c r="A53" s="20"/>
      <c r="B53" s="23"/>
      <c r="C53" s="4"/>
      <c r="D53" s="4"/>
      <c r="E53" s="3"/>
      <c r="F53" s="29" t="s">
        <v>10</v>
      </c>
      <c r="G53" s="296">
        <v>1</v>
      </c>
      <c r="H53" s="297"/>
      <c r="I53" s="3"/>
      <c r="J53" s="296">
        <v>6</v>
      </c>
      <c r="K53" s="297"/>
      <c r="L53" s="3"/>
      <c r="M53" s="296">
        <v>4</v>
      </c>
      <c r="N53" s="298"/>
      <c r="P53" s="10" t="s">
        <v>34</v>
      </c>
    </row>
    <row r="54" spans="1:16" ht="11.25">
      <c r="A54" s="20"/>
      <c r="B54" s="23"/>
      <c r="C54" s="4"/>
      <c r="D54" s="4"/>
      <c r="E54" s="3"/>
      <c r="F54" s="29" t="s">
        <v>8</v>
      </c>
      <c r="G54" s="296">
        <v>20</v>
      </c>
      <c r="H54" s="297"/>
      <c r="I54" s="14"/>
      <c r="J54" s="296">
        <v>23</v>
      </c>
      <c r="K54" s="297"/>
      <c r="L54" s="14"/>
      <c r="M54" s="296">
        <v>23</v>
      </c>
      <c r="N54" s="298"/>
      <c r="P54" s="10" t="s">
        <v>36</v>
      </c>
    </row>
    <row r="55" spans="1:16" ht="11.25">
      <c r="A55" s="20"/>
      <c r="B55" s="23"/>
      <c r="C55" s="4"/>
      <c r="D55" s="4"/>
      <c r="E55" s="3"/>
      <c r="F55" s="42" t="s">
        <v>11</v>
      </c>
      <c r="G55" s="296">
        <v>24.6</v>
      </c>
      <c r="H55" s="297"/>
      <c r="I55" s="3"/>
      <c r="J55" s="296">
        <v>26.4</v>
      </c>
      <c r="K55" s="297"/>
      <c r="L55" s="3"/>
      <c r="M55" s="296">
        <v>23.9</v>
      </c>
      <c r="N55" s="298"/>
      <c r="P55" s="10" t="s">
        <v>42</v>
      </c>
    </row>
    <row r="56" spans="1:19" ht="11.25">
      <c r="A56" s="20"/>
      <c r="B56" s="22"/>
      <c r="C56" s="4"/>
      <c r="D56" s="4"/>
      <c r="E56" s="3"/>
      <c r="F56" s="29" t="s">
        <v>9</v>
      </c>
      <c r="G56" s="293">
        <v>0.57</v>
      </c>
      <c r="H56" s="294"/>
      <c r="I56" s="3"/>
      <c r="J56" s="293">
        <v>0.63</v>
      </c>
      <c r="K56" s="294"/>
      <c r="L56" s="3"/>
      <c r="M56" s="293">
        <v>0.6</v>
      </c>
      <c r="N56" s="295"/>
      <c r="P56" s="10" t="s">
        <v>37</v>
      </c>
      <c r="Q56"/>
      <c r="R56"/>
      <c r="S56"/>
    </row>
    <row r="57" spans="1:19" ht="11.25">
      <c r="A57" s="20"/>
      <c r="B57" s="22"/>
      <c r="C57" s="4"/>
      <c r="D57" s="4"/>
      <c r="E57" s="27"/>
      <c r="F57" s="29" t="s">
        <v>12</v>
      </c>
      <c r="G57" s="296">
        <v>4</v>
      </c>
      <c r="H57" s="297"/>
      <c r="I57" s="28"/>
      <c r="J57" s="296">
        <v>4</v>
      </c>
      <c r="K57" s="297"/>
      <c r="L57" s="28"/>
      <c r="M57" s="296">
        <v>4</v>
      </c>
      <c r="N57" s="298"/>
      <c r="P57" s="10" t="s">
        <v>38</v>
      </c>
      <c r="Q57"/>
      <c r="R57"/>
      <c r="S57"/>
    </row>
    <row r="58" spans="1:19" ht="11.25">
      <c r="A58" s="20"/>
      <c r="B58" s="22"/>
      <c r="C58" s="4"/>
      <c r="D58" s="4"/>
      <c r="E58" s="3"/>
      <c r="F58" s="29" t="s">
        <v>19</v>
      </c>
      <c r="G58" s="293">
        <v>0.124</v>
      </c>
      <c r="H58" s="294"/>
      <c r="I58" s="28"/>
      <c r="J58" s="293">
        <v>0.121</v>
      </c>
      <c r="K58" s="294"/>
      <c r="L58" s="28"/>
      <c r="M58" s="293">
        <v>0.16</v>
      </c>
      <c r="N58" s="295"/>
      <c r="P58" s="10" t="s">
        <v>39</v>
      </c>
      <c r="Q58"/>
      <c r="R58"/>
      <c r="S58"/>
    </row>
    <row r="59" spans="1:19" ht="11.25">
      <c r="A59" s="20"/>
      <c r="B59" s="22"/>
      <c r="C59" s="4"/>
      <c r="D59" s="4"/>
      <c r="E59" s="3"/>
      <c r="F59" s="29" t="s">
        <v>0</v>
      </c>
      <c r="G59" s="293">
        <v>-0.108</v>
      </c>
      <c r="H59" s="294"/>
      <c r="I59" s="28"/>
      <c r="J59" s="293">
        <v>-0.019</v>
      </c>
      <c r="K59" s="294"/>
      <c r="L59" s="28"/>
      <c r="M59" s="293">
        <v>-0.009</v>
      </c>
      <c r="N59" s="295"/>
      <c r="P59" s="10" t="s">
        <v>40</v>
      </c>
      <c r="Q59"/>
      <c r="R59"/>
      <c r="S59"/>
    </row>
    <row r="60" spans="1:14" ht="11.25">
      <c r="A60" s="21" t="s">
        <v>1</v>
      </c>
      <c r="B60" s="28"/>
      <c r="C60" s="28"/>
      <c r="D60" s="28"/>
      <c r="E60" s="28"/>
      <c r="F60" s="28"/>
      <c r="G60" s="28"/>
      <c r="H60" s="28"/>
      <c r="I60" s="28"/>
      <c r="J60" s="28"/>
      <c r="K60" s="28"/>
      <c r="L60" s="28"/>
      <c r="M60" s="28"/>
      <c r="N60" s="33"/>
    </row>
    <row r="61" spans="1:16" ht="11.25">
      <c r="A61" s="37" t="s">
        <v>141</v>
      </c>
      <c r="B61" s="28"/>
      <c r="C61" s="28"/>
      <c r="D61" s="28"/>
      <c r="E61" s="28"/>
      <c r="F61" s="28"/>
      <c r="G61" s="28"/>
      <c r="H61" s="28"/>
      <c r="I61" s="28"/>
      <c r="J61" s="28"/>
      <c r="K61" s="28"/>
      <c r="L61" s="28"/>
      <c r="M61" s="28"/>
      <c r="N61" s="33"/>
      <c r="P61" t="s">
        <v>35</v>
      </c>
    </row>
    <row r="62" spans="1:14" ht="11.25">
      <c r="A62" s="38" t="s">
        <v>142</v>
      </c>
      <c r="B62" s="23"/>
      <c r="C62" s="23"/>
      <c r="D62" s="23"/>
      <c r="E62" s="23"/>
      <c r="F62" s="23"/>
      <c r="G62" s="23"/>
      <c r="H62" s="23"/>
      <c r="I62" s="23"/>
      <c r="J62" s="23"/>
      <c r="K62" s="23"/>
      <c r="L62" s="23"/>
      <c r="M62" s="23"/>
      <c r="N62" s="24"/>
    </row>
    <row r="63" spans="1:14" ht="11.25">
      <c r="A63" s="38" t="s">
        <v>143</v>
      </c>
      <c r="B63" s="23"/>
      <c r="C63" s="23"/>
      <c r="D63" s="23"/>
      <c r="E63" s="23"/>
      <c r="F63" s="23"/>
      <c r="G63" s="23"/>
      <c r="H63" s="23"/>
      <c r="I63" s="23"/>
      <c r="J63" s="23"/>
      <c r="K63" s="23"/>
      <c r="L63" s="23"/>
      <c r="M63" s="23"/>
      <c r="N63" s="24"/>
    </row>
    <row r="64" spans="1:16" ht="11.25">
      <c r="A64" s="38" t="s">
        <v>144</v>
      </c>
      <c r="B64" s="23"/>
      <c r="C64" s="23"/>
      <c r="D64" s="23"/>
      <c r="E64" s="23"/>
      <c r="F64" s="23"/>
      <c r="G64" s="23"/>
      <c r="H64" s="23"/>
      <c r="I64" s="23"/>
      <c r="J64" s="23"/>
      <c r="K64" s="23"/>
      <c r="L64" s="23"/>
      <c r="M64" s="23"/>
      <c r="N64" s="24"/>
      <c r="P64" s="44" t="s">
        <v>41</v>
      </c>
    </row>
    <row r="65" spans="1:14" ht="11.25">
      <c r="A65" s="38" t="s">
        <v>145</v>
      </c>
      <c r="B65" s="23"/>
      <c r="C65" s="23"/>
      <c r="D65" s="23"/>
      <c r="E65" s="23"/>
      <c r="F65" s="23"/>
      <c r="G65" s="23"/>
      <c r="H65" s="23"/>
      <c r="I65" s="23"/>
      <c r="J65" s="23"/>
      <c r="K65" s="23"/>
      <c r="L65" s="23"/>
      <c r="M65" s="23"/>
      <c r="N65" s="24"/>
    </row>
    <row r="66" spans="1:14" ht="12.75" thickBot="1">
      <c r="A66" s="39" t="s">
        <v>146</v>
      </c>
      <c r="B66" s="40"/>
      <c r="C66" s="40"/>
      <c r="D66" s="40"/>
      <c r="E66" s="40"/>
      <c r="F66" s="40"/>
      <c r="G66" s="40"/>
      <c r="H66" s="40"/>
      <c r="I66" s="40"/>
      <c r="J66" s="40"/>
      <c r="K66" s="40"/>
      <c r="L66" s="40"/>
      <c r="M66" s="40"/>
      <c r="N66" s="41"/>
    </row>
  </sheetData>
  <mergeCells count="122">
    <mergeCell ref="G5:H5"/>
    <mergeCell ref="G6:H6"/>
    <mergeCell ref="G7:H7"/>
    <mergeCell ref="G8:H8"/>
    <mergeCell ref="G9:H9"/>
    <mergeCell ref="J9:K9"/>
    <mergeCell ref="G2:N2"/>
    <mergeCell ref="G3:H3"/>
    <mergeCell ref="J3:K3"/>
    <mergeCell ref="M3:N3"/>
    <mergeCell ref="G4:H4"/>
    <mergeCell ref="J4:K4"/>
    <mergeCell ref="M4:N4"/>
    <mergeCell ref="G13:H13"/>
    <mergeCell ref="J13:K13"/>
    <mergeCell ref="M13:N13"/>
    <mergeCell ref="G14:H14"/>
    <mergeCell ref="J14:K14"/>
    <mergeCell ref="M14:N14"/>
    <mergeCell ref="M9:N9"/>
    <mergeCell ref="G11:H11"/>
    <mergeCell ref="J11:K11"/>
    <mergeCell ref="M11:N11"/>
    <mergeCell ref="G12:H12"/>
    <mergeCell ref="J12:K12"/>
    <mergeCell ref="M12:N12"/>
    <mergeCell ref="G18:H18"/>
    <mergeCell ref="J18:K18"/>
    <mergeCell ref="M18:N18"/>
    <mergeCell ref="G19:H19"/>
    <mergeCell ref="J19:K19"/>
    <mergeCell ref="M19:N19"/>
    <mergeCell ref="G15:H15"/>
    <mergeCell ref="J15:K15"/>
    <mergeCell ref="M15:N15"/>
    <mergeCell ref="G16:H16"/>
    <mergeCell ref="J16:K16"/>
    <mergeCell ref="M16:N16"/>
    <mergeCell ref="G22:H22"/>
    <mergeCell ref="J22:K22"/>
    <mergeCell ref="M22:N22"/>
    <mergeCell ref="G24:H24"/>
    <mergeCell ref="J24:K24"/>
    <mergeCell ref="M24:N24"/>
    <mergeCell ref="G20:H20"/>
    <mergeCell ref="J20:K20"/>
    <mergeCell ref="M20:N20"/>
    <mergeCell ref="G21:H21"/>
    <mergeCell ref="J21:K21"/>
    <mergeCell ref="M21:N21"/>
    <mergeCell ref="G28:H28"/>
    <mergeCell ref="J28:K28"/>
    <mergeCell ref="M28:N28"/>
    <mergeCell ref="G29:H29"/>
    <mergeCell ref="J29:K29"/>
    <mergeCell ref="M29:N29"/>
    <mergeCell ref="G25:H25"/>
    <mergeCell ref="J25:K25"/>
    <mergeCell ref="M25:N25"/>
    <mergeCell ref="G27:H27"/>
    <mergeCell ref="J27:K27"/>
    <mergeCell ref="M27:N27"/>
    <mergeCell ref="G34:H34"/>
    <mergeCell ref="J34:K34"/>
    <mergeCell ref="M34:N34"/>
    <mergeCell ref="G35:H35"/>
    <mergeCell ref="J35:K35"/>
    <mergeCell ref="M35:N35"/>
    <mergeCell ref="G31:H31"/>
    <mergeCell ref="J31:K31"/>
    <mergeCell ref="M31:N31"/>
    <mergeCell ref="G33:H33"/>
    <mergeCell ref="J33:K33"/>
    <mergeCell ref="M33:N33"/>
    <mergeCell ref="G39:H39"/>
    <mergeCell ref="J39:K39"/>
    <mergeCell ref="M39:N39"/>
    <mergeCell ref="G40:H40"/>
    <mergeCell ref="J40:K40"/>
    <mergeCell ref="M40:N40"/>
    <mergeCell ref="G36:H36"/>
    <mergeCell ref="J36:K36"/>
    <mergeCell ref="M36:N36"/>
    <mergeCell ref="G38:H38"/>
    <mergeCell ref="J38:K38"/>
    <mergeCell ref="M38:N38"/>
    <mergeCell ref="G51:H51"/>
    <mergeCell ref="J51:K51"/>
    <mergeCell ref="M51:N51"/>
    <mergeCell ref="G52:H52"/>
    <mergeCell ref="J52:K52"/>
    <mergeCell ref="M52:N52"/>
    <mergeCell ref="G41:H41"/>
    <mergeCell ref="J41:K41"/>
    <mergeCell ref="M41:N41"/>
    <mergeCell ref="G43:H43"/>
    <mergeCell ref="J43:K43"/>
    <mergeCell ref="M43:N43"/>
    <mergeCell ref="G59:H59"/>
    <mergeCell ref="J59:K59"/>
    <mergeCell ref="M59:N59"/>
    <mergeCell ref="G44:H44"/>
    <mergeCell ref="J44:K44"/>
    <mergeCell ref="M44:N44"/>
    <mergeCell ref="G57:H57"/>
    <mergeCell ref="J57:K57"/>
    <mergeCell ref="M57:N57"/>
    <mergeCell ref="G58:H58"/>
    <mergeCell ref="J58:K58"/>
    <mergeCell ref="M58:N58"/>
    <mergeCell ref="G55:H55"/>
    <mergeCell ref="J55:K55"/>
    <mergeCell ref="M55:N55"/>
    <mergeCell ref="G56:H56"/>
    <mergeCell ref="J56:K56"/>
    <mergeCell ref="M56:N56"/>
    <mergeCell ref="G53:H53"/>
    <mergeCell ref="J53:K53"/>
    <mergeCell ref="M53:N53"/>
    <mergeCell ref="G54:H54"/>
    <mergeCell ref="J54:K54"/>
    <mergeCell ref="M54:N54"/>
  </mergeCells>
  <printOptions/>
  <pageMargins left="0.25" right="0.25" top="0.75" bottom="0.75" header="0.3" footer="0.3"/>
  <pageSetup fitToHeight="1" fitToWidth="1" horizontalDpi="1200" verticalDpi="1200" orientation="portrait" scale="94" r:id="rId3"/>
  <colBreaks count="1" manualBreakCount="1">
    <brk id="14" max="16383" man="1"/>
  </colBreaks>
  <legacyDrawing r:id="rId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V66"/>
  <sheetViews>
    <sheetView showGridLines="0" workbookViewId="0" topLeftCell="A16">
      <selection activeCell="M43" sqref="M43:N43"/>
    </sheetView>
  </sheetViews>
  <sheetFormatPr defaultColWidth="9.00390625" defaultRowHeight="11.25"/>
  <cols>
    <col min="1" max="1" width="4.625" style="1" customWidth="1"/>
    <col min="2" max="5" width="9.00390625" style="1" customWidth="1"/>
    <col min="6" max="6" width="7.125" style="1" customWidth="1"/>
    <col min="7" max="8" width="9.125" style="1" customWidth="1"/>
    <col min="9" max="9" width="1.75390625" style="1" customWidth="1"/>
    <col min="10" max="11" width="9.125" style="1" customWidth="1"/>
    <col min="12" max="12" width="1.75390625" style="1" customWidth="1"/>
    <col min="13" max="14" width="9.125" style="1" customWidth="1"/>
    <col min="15" max="15" width="3.75390625" style="10" customWidth="1"/>
    <col min="16" max="16384" width="9.00390625" style="10" customWidth="1"/>
  </cols>
  <sheetData>
    <row r="1" spans="1:14" s="12" customFormat="1" ht="11.25">
      <c r="A1" s="17" t="s">
        <v>88</v>
      </c>
      <c r="B1" s="18"/>
      <c r="C1" s="18"/>
      <c r="D1" s="18"/>
      <c r="E1" s="18"/>
      <c r="F1" s="18"/>
      <c r="G1" s="18"/>
      <c r="H1" s="18"/>
      <c r="I1" s="18"/>
      <c r="J1" s="18"/>
      <c r="K1" s="18"/>
      <c r="L1" s="18"/>
      <c r="M1" s="18"/>
      <c r="N1" s="19"/>
    </row>
    <row r="2" spans="1:16" s="12" customFormat="1" ht="11.25">
      <c r="A2" s="20" t="s">
        <v>89</v>
      </c>
      <c r="B2" s="15"/>
      <c r="C2" s="15"/>
      <c r="D2" s="15"/>
      <c r="E2" s="15"/>
      <c r="F2" s="15"/>
      <c r="G2" s="328" t="s">
        <v>26</v>
      </c>
      <c r="H2" s="328"/>
      <c r="I2" s="328"/>
      <c r="J2" s="328"/>
      <c r="K2" s="328"/>
      <c r="L2" s="328"/>
      <c r="M2" s="328"/>
      <c r="N2" s="329"/>
      <c r="P2" s="43" t="s">
        <v>27</v>
      </c>
    </row>
    <row r="3" spans="1:14" ht="11.25">
      <c r="A3" s="45"/>
      <c r="B3" s="2"/>
      <c r="C3" s="2"/>
      <c r="D3" s="2"/>
      <c r="E3" s="2"/>
      <c r="F3" s="16" t="s">
        <v>14</v>
      </c>
      <c r="G3" s="330">
        <v>19</v>
      </c>
      <c r="H3" s="327"/>
      <c r="I3" s="2"/>
      <c r="J3" s="330">
        <v>18</v>
      </c>
      <c r="K3" s="327"/>
      <c r="L3" s="2"/>
      <c r="M3" s="330">
        <v>17</v>
      </c>
      <c r="N3" s="331"/>
    </row>
    <row r="4" spans="1:14" ht="11.25">
      <c r="A4" s="20"/>
      <c r="B4" s="2"/>
      <c r="C4" s="2"/>
      <c r="D4" s="2"/>
      <c r="E4" s="2"/>
      <c r="F4" s="16" t="s">
        <v>15</v>
      </c>
      <c r="G4" s="330" t="s">
        <v>80</v>
      </c>
      <c r="H4" s="327"/>
      <c r="I4" s="2"/>
      <c r="J4" s="330" t="s">
        <v>81</v>
      </c>
      <c r="K4" s="327"/>
      <c r="L4" s="2"/>
      <c r="M4" s="330" t="s">
        <v>82</v>
      </c>
      <c r="N4" s="331"/>
    </row>
    <row r="5" spans="1:14" ht="11.25">
      <c r="A5" s="20"/>
      <c r="B5" s="2"/>
      <c r="C5" s="2"/>
      <c r="D5" s="2"/>
      <c r="E5" s="2"/>
      <c r="F5" s="16" t="s">
        <v>16</v>
      </c>
      <c r="G5" s="321" t="s">
        <v>147</v>
      </c>
      <c r="H5" s="322"/>
      <c r="I5" s="2"/>
      <c r="J5" s="28"/>
      <c r="K5" s="28"/>
      <c r="L5" s="28"/>
      <c r="M5" s="28"/>
      <c r="N5" s="33"/>
    </row>
    <row r="6" spans="1:14" ht="11.25">
      <c r="A6" s="20"/>
      <c r="B6" s="2"/>
      <c r="C6" s="2"/>
      <c r="D6" s="2"/>
      <c r="E6" s="2"/>
      <c r="F6" s="16" t="s">
        <v>17</v>
      </c>
      <c r="G6" s="323" t="s">
        <v>148</v>
      </c>
      <c r="H6" s="323"/>
      <c r="I6" s="2"/>
      <c r="J6" s="28"/>
      <c r="K6" s="28"/>
      <c r="L6" s="28"/>
      <c r="M6" s="28"/>
      <c r="N6" s="33"/>
    </row>
    <row r="7" spans="1:14" ht="11.25">
      <c r="A7" s="20"/>
      <c r="B7" s="2"/>
      <c r="C7" s="2"/>
      <c r="D7" s="2"/>
      <c r="E7" s="2"/>
      <c r="F7" s="16" t="s">
        <v>33</v>
      </c>
      <c r="G7" s="324" t="s">
        <v>149</v>
      </c>
      <c r="H7" s="325"/>
      <c r="I7" s="2"/>
      <c r="J7" s="28"/>
      <c r="K7" s="28"/>
      <c r="L7" s="28"/>
      <c r="M7" s="28"/>
      <c r="N7" s="33"/>
    </row>
    <row r="8" spans="1:14" ht="11.25">
      <c r="A8" s="20"/>
      <c r="B8" s="2"/>
      <c r="C8" s="2"/>
      <c r="D8" s="2"/>
      <c r="E8" s="2"/>
      <c r="F8" s="16" t="s">
        <v>18</v>
      </c>
      <c r="G8" s="326">
        <v>43929</v>
      </c>
      <c r="H8" s="327"/>
      <c r="I8" s="2"/>
      <c r="J8" s="28"/>
      <c r="K8" s="28"/>
      <c r="L8" s="28"/>
      <c r="M8" s="28"/>
      <c r="N8" s="33"/>
    </row>
    <row r="9" spans="1:14" ht="12.75">
      <c r="A9" s="21" t="s">
        <v>2</v>
      </c>
      <c r="B9" s="22"/>
      <c r="C9" s="4"/>
      <c r="D9" s="4"/>
      <c r="E9" s="3"/>
      <c r="F9" s="3"/>
      <c r="G9" s="319"/>
      <c r="H9" s="319"/>
      <c r="I9" s="3"/>
      <c r="J9" s="319"/>
      <c r="K9" s="319"/>
      <c r="L9" s="3"/>
      <c r="M9" s="319"/>
      <c r="N9" s="320"/>
    </row>
    <row r="10" spans="1:15" ht="12.75">
      <c r="A10" s="20"/>
      <c r="B10" s="22" t="s">
        <v>56</v>
      </c>
      <c r="C10" s="4"/>
      <c r="D10" s="4"/>
      <c r="E10" s="3"/>
      <c r="F10" s="29"/>
      <c r="G10" s="58"/>
      <c r="H10" s="58"/>
      <c r="I10" s="5"/>
      <c r="J10" s="58"/>
      <c r="K10" s="58"/>
      <c r="L10" s="5"/>
      <c r="M10" s="58"/>
      <c r="N10" s="59"/>
      <c r="O10" s="11"/>
    </row>
    <row r="11" spans="1:16" ht="11.25">
      <c r="A11" s="20"/>
      <c r="B11" s="22"/>
      <c r="C11" s="6"/>
      <c r="D11" s="6"/>
      <c r="E11" s="7"/>
      <c r="F11" s="30" t="s">
        <v>7</v>
      </c>
      <c r="G11" s="313">
        <v>8676</v>
      </c>
      <c r="H11" s="314"/>
      <c r="I11" s="5"/>
      <c r="J11" s="313">
        <v>8213</v>
      </c>
      <c r="K11" s="314"/>
      <c r="L11" s="5"/>
      <c r="M11" s="313">
        <v>7730</v>
      </c>
      <c r="N11" s="315"/>
      <c r="P11" s="10" t="s">
        <v>28</v>
      </c>
    </row>
    <row r="12" spans="1:16" ht="12.75">
      <c r="A12" s="20"/>
      <c r="B12" s="22"/>
      <c r="C12" s="4"/>
      <c r="D12" s="4"/>
      <c r="E12" s="3"/>
      <c r="F12" s="29" t="s">
        <v>5</v>
      </c>
      <c r="G12" s="316">
        <v>0.056</v>
      </c>
      <c r="H12" s="317"/>
      <c r="I12" s="5"/>
      <c r="J12" s="316">
        <v>0.062</v>
      </c>
      <c r="K12" s="317"/>
      <c r="L12" s="5"/>
      <c r="M12" s="316">
        <v>0.037</v>
      </c>
      <c r="N12" s="318"/>
      <c r="O12" s="11"/>
      <c r="P12" s="10" t="s">
        <v>29</v>
      </c>
    </row>
    <row r="13" spans="1:16" ht="12.75">
      <c r="A13" s="20"/>
      <c r="B13" s="22"/>
      <c r="C13" s="4"/>
      <c r="D13" s="4"/>
      <c r="E13" s="3"/>
      <c r="F13" s="29" t="s">
        <v>53</v>
      </c>
      <c r="G13" s="313">
        <v>3</v>
      </c>
      <c r="H13" s="314"/>
      <c r="I13" s="5"/>
      <c r="J13" s="313">
        <v>3</v>
      </c>
      <c r="K13" s="314"/>
      <c r="L13" s="5"/>
      <c r="M13" s="313">
        <v>1</v>
      </c>
      <c r="N13" s="315"/>
      <c r="O13" s="11"/>
      <c r="P13" s="10" t="s">
        <v>71</v>
      </c>
    </row>
    <row r="14" spans="1:16" ht="12.75">
      <c r="A14" s="20"/>
      <c r="B14" s="22"/>
      <c r="C14" s="4"/>
      <c r="D14" s="4"/>
      <c r="E14" s="3"/>
      <c r="F14" s="29" t="s">
        <v>54</v>
      </c>
      <c r="G14" s="313">
        <f>20+14+72</f>
        <v>106</v>
      </c>
      <c r="H14" s="314"/>
      <c r="I14" s="5"/>
      <c r="J14" s="313">
        <f>56+4+2</f>
        <v>62</v>
      </c>
      <c r="K14" s="314"/>
      <c r="L14" s="5"/>
      <c r="M14" s="313">
        <v>77</v>
      </c>
      <c r="N14" s="315"/>
      <c r="O14" s="11"/>
      <c r="P14" s="10" t="s">
        <v>70</v>
      </c>
    </row>
    <row r="15" spans="1:16" ht="12.75">
      <c r="A15" s="20"/>
      <c r="B15" s="22"/>
      <c r="C15" s="4"/>
      <c r="D15" s="4"/>
      <c r="E15" s="3"/>
      <c r="F15" s="29" t="s">
        <v>55</v>
      </c>
      <c r="G15" s="313">
        <v>10</v>
      </c>
      <c r="H15" s="314"/>
      <c r="I15" s="5"/>
      <c r="J15" s="313">
        <v>10</v>
      </c>
      <c r="K15" s="314"/>
      <c r="L15" s="5"/>
      <c r="M15" s="313">
        <v>16</v>
      </c>
      <c r="N15" s="315"/>
      <c r="O15" s="11"/>
      <c r="P15" s="10" t="s">
        <v>69</v>
      </c>
    </row>
    <row r="16" spans="1:16" ht="12.75">
      <c r="A16" s="20"/>
      <c r="B16" s="22"/>
      <c r="C16" s="4"/>
      <c r="D16" s="4"/>
      <c r="E16" s="3"/>
      <c r="F16" s="29" t="s">
        <v>78</v>
      </c>
      <c r="G16" s="313">
        <v>48</v>
      </c>
      <c r="H16" s="314"/>
      <c r="I16" s="5"/>
      <c r="J16" s="313">
        <v>30</v>
      </c>
      <c r="K16" s="314"/>
      <c r="L16" s="5"/>
      <c r="M16" s="313">
        <v>44</v>
      </c>
      <c r="N16" s="315"/>
      <c r="O16" s="11"/>
      <c r="P16" s="10" t="s">
        <v>86</v>
      </c>
    </row>
    <row r="17" spans="1:15" ht="12.75">
      <c r="A17" s="20"/>
      <c r="B17" s="22" t="s">
        <v>57</v>
      </c>
      <c r="C17" s="4"/>
      <c r="D17" s="4"/>
      <c r="E17" s="3"/>
      <c r="F17" s="29"/>
      <c r="G17" s="58"/>
      <c r="H17" s="58"/>
      <c r="I17" s="5"/>
      <c r="J17" s="58"/>
      <c r="K17" s="58"/>
      <c r="L17" s="5"/>
      <c r="M17" s="58"/>
      <c r="N17" s="59"/>
      <c r="O17" s="11"/>
    </row>
    <row r="18" spans="1:16" ht="11.25">
      <c r="A18" s="20"/>
      <c r="B18" s="22"/>
      <c r="C18" s="6"/>
      <c r="D18" s="6"/>
      <c r="E18" s="7"/>
      <c r="F18" s="30" t="s">
        <v>7</v>
      </c>
      <c r="G18" s="313"/>
      <c r="H18" s="314"/>
      <c r="I18" s="5"/>
      <c r="J18" s="313"/>
      <c r="K18" s="314"/>
      <c r="L18" s="5"/>
      <c r="M18" s="313"/>
      <c r="N18" s="315"/>
      <c r="P18" s="10" t="s">
        <v>28</v>
      </c>
    </row>
    <row r="19" spans="1:16" ht="12.75">
      <c r="A19" s="20"/>
      <c r="B19" s="22"/>
      <c r="C19" s="4"/>
      <c r="D19" s="4"/>
      <c r="E19" s="3"/>
      <c r="F19" s="29" t="s">
        <v>5</v>
      </c>
      <c r="G19" s="316"/>
      <c r="H19" s="317"/>
      <c r="I19" s="5"/>
      <c r="J19" s="316"/>
      <c r="K19" s="317"/>
      <c r="L19" s="5"/>
      <c r="M19" s="316"/>
      <c r="N19" s="318"/>
      <c r="O19" s="11"/>
      <c r="P19" s="10" t="s">
        <v>29</v>
      </c>
    </row>
    <row r="20" spans="1:16" ht="12.75">
      <c r="A20" s="20"/>
      <c r="B20" s="22"/>
      <c r="C20" s="4"/>
      <c r="D20" s="4"/>
      <c r="E20" s="3"/>
      <c r="F20" s="29" t="s">
        <v>58</v>
      </c>
      <c r="G20" s="313"/>
      <c r="H20" s="314"/>
      <c r="I20" s="5"/>
      <c r="J20" s="313"/>
      <c r="K20" s="314"/>
      <c r="L20" s="5"/>
      <c r="M20" s="313"/>
      <c r="N20" s="315"/>
      <c r="O20" s="11"/>
      <c r="P20" s="10" t="s">
        <v>71</v>
      </c>
    </row>
    <row r="21" spans="1:16" ht="12.75">
      <c r="A21" s="20"/>
      <c r="B21" s="22"/>
      <c r="C21" s="4"/>
      <c r="D21" s="4"/>
      <c r="E21" s="3"/>
      <c r="F21" s="29" t="s">
        <v>59</v>
      </c>
      <c r="G21" s="313"/>
      <c r="H21" s="314"/>
      <c r="I21" s="5"/>
      <c r="J21" s="313"/>
      <c r="K21" s="314"/>
      <c r="L21" s="5"/>
      <c r="M21" s="313"/>
      <c r="N21" s="315"/>
      <c r="O21" s="11"/>
      <c r="P21" s="10" t="s">
        <v>83</v>
      </c>
    </row>
    <row r="22" spans="1:16" ht="12.75">
      <c r="A22" s="20"/>
      <c r="B22" s="22"/>
      <c r="C22" s="4"/>
      <c r="D22" s="4"/>
      <c r="E22" s="3"/>
      <c r="F22" s="29" t="s">
        <v>78</v>
      </c>
      <c r="G22" s="313"/>
      <c r="H22" s="314"/>
      <c r="I22" s="5"/>
      <c r="J22" s="313"/>
      <c r="K22" s="314"/>
      <c r="L22" s="5"/>
      <c r="M22" s="313"/>
      <c r="N22" s="315"/>
      <c r="O22" s="11"/>
      <c r="P22" s="10" t="s">
        <v>86</v>
      </c>
    </row>
    <row r="23" spans="1:14" ht="11.25">
      <c r="A23" s="20"/>
      <c r="B23" s="4" t="s">
        <v>6</v>
      </c>
      <c r="C23" s="4"/>
      <c r="D23" s="4"/>
      <c r="E23" s="3"/>
      <c r="F23" s="3"/>
      <c r="G23" s="23"/>
      <c r="H23" s="23"/>
      <c r="I23" s="5"/>
      <c r="J23" s="23"/>
      <c r="K23" s="23"/>
      <c r="L23" s="5"/>
      <c r="M23" s="23"/>
      <c r="N23" s="24"/>
    </row>
    <row r="24" spans="1:16" ht="11.25">
      <c r="A24" s="20"/>
      <c r="B24" s="22"/>
      <c r="C24" s="4"/>
      <c r="D24" s="4"/>
      <c r="E24" s="3"/>
      <c r="F24" s="29" t="s">
        <v>20</v>
      </c>
      <c r="G24" s="293">
        <v>0.255</v>
      </c>
      <c r="H24" s="294"/>
      <c r="I24" s="3"/>
      <c r="J24" s="293">
        <v>0.18</v>
      </c>
      <c r="K24" s="294"/>
      <c r="L24" s="3"/>
      <c r="M24" s="293">
        <v>0.174</v>
      </c>
      <c r="N24" s="295"/>
      <c r="P24" s="10" t="s">
        <v>30</v>
      </c>
    </row>
    <row r="25" spans="1:16" ht="11.25">
      <c r="A25" s="20"/>
      <c r="B25" s="22"/>
      <c r="C25" s="4"/>
      <c r="D25" s="4"/>
      <c r="E25" s="3"/>
      <c r="F25" s="29" t="s">
        <v>21</v>
      </c>
      <c r="G25" s="293">
        <v>0.745</v>
      </c>
      <c r="H25" s="294"/>
      <c r="I25" s="3"/>
      <c r="J25" s="293">
        <v>0.82</v>
      </c>
      <c r="K25" s="294"/>
      <c r="L25" s="3"/>
      <c r="M25" s="293">
        <v>0.826</v>
      </c>
      <c r="N25" s="295"/>
      <c r="P25" s="10" t="s">
        <v>31</v>
      </c>
    </row>
    <row r="26" spans="1:14" ht="11.25">
      <c r="A26" s="62" t="s">
        <v>60</v>
      </c>
      <c r="B26" s="22"/>
      <c r="C26" s="4"/>
      <c r="D26" s="4"/>
      <c r="E26" s="3"/>
      <c r="F26" s="29"/>
      <c r="G26" s="60"/>
      <c r="H26" s="60"/>
      <c r="I26" s="5"/>
      <c r="J26" s="60"/>
      <c r="K26" s="60"/>
      <c r="L26" s="5"/>
      <c r="M26" s="60"/>
      <c r="N26" s="61"/>
    </row>
    <row r="27" spans="1:16" ht="11.25">
      <c r="A27" s="20"/>
      <c r="B27" s="22"/>
      <c r="C27" s="4"/>
      <c r="D27" s="4"/>
      <c r="E27" s="3"/>
      <c r="F27" s="29" t="s">
        <v>61</v>
      </c>
      <c r="G27" s="313">
        <f>877752.24+14500+6899.98+24133.39</f>
        <v>923285.61</v>
      </c>
      <c r="H27" s="314"/>
      <c r="I27" s="5"/>
      <c r="J27" s="313">
        <f>919089.69+4950+3199.98+1500+17589+30333</f>
        <v>976661.6699999999</v>
      </c>
      <c r="K27" s="314"/>
      <c r="L27" s="5"/>
      <c r="M27" s="313">
        <f>898170.44+6000+2599.98</f>
        <v>906770.4199999999</v>
      </c>
      <c r="N27" s="315"/>
      <c r="P27" s="10" t="s">
        <v>91</v>
      </c>
    </row>
    <row r="28" spans="1:16" ht="11.25">
      <c r="A28" s="20"/>
      <c r="B28" s="22"/>
      <c r="C28" s="4"/>
      <c r="D28" s="4"/>
      <c r="E28" s="3"/>
      <c r="F28" s="29" t="s">
        <v>62</v>
      </c>
      <c r="G28" s="313">
        <f>6793.22+387+18592.43+55.88</f>
        <v>25828.530000000002</v>
      </c>
      <c r="H28" s="314"/>
      <c r="I28" s="5"/>
      <c r="J28" s="313">
        <f>17265.48+230+139+3506.49+3391.5</f>
        <v>24532.47</v>
      </c>
      <c r="K28" s="314"/>
      <c r="L28" s="5"/>
      <c r="M28" s="313">
        <v>10146.5</v>
      </c>
      <c r="N28" s="315"/>
      <c r="P28" s="10" t="s">
        <v>91</v>
      </c>
    </row>
    <row r="29" spans="1:16" ht="11.25">
      <c r="A29" s="20"/>
      <c r="B29" s="22"/>
      <c r="C29" s="4"/>
      <c r="D29" s="4"/>
      <c r="E29" s="3"/>
      <c r="F29" s="29" t="s">
        <v>63</v>
      </c>
      <c r="G29" s="310">
        <v>272703.85</v>
      </c>
      <c r="H29" s="311"/>
      <c r="I29" s="5"/>
      <c r="J29" s="310">
        <v>278492.02</v>
      </c>
      <c r="K29" s="311"/>
      <c r="L29" s="5"/>
      <c r="M29" s="310">
        <v>294073.33</v>
      </c>
      <c r="N29" s="312"/>
      <c r="P29" s="10" t="s">
        <v>90</v>
      </c>
    </row>
    <row r="30" spans="1:14" ht="11.25">
      <c r="A30" s="20"/>
      <c r="B30" s="22"/>
      <c r="C30" s="4"/>
      <c r="D30" s="4"/>
      <c r="E30" s="3"/>
      <c r="F30" s="29"/>
      <c r="G30" s="73"/>
      <c r="H30" s="74"/>
      <c r="I30" s="5"/>
      <c r="J30" s="73"/>
      <c r="K30" s="74"/>
      <c r="L30" s="5"/>
      <c r="M30" s="73"/>
      <c r="N30" s="75"/>
    </row>
    <row r="31" spans="1:18" ht="11.25">
      <c r="A31" s="20"/>
      <c r="B31" s="4"/>
      <c r="C31" s="4"/>
      <c r="D31" s="4"/>
      <c r="E31" s="3"/>
      <c r="F31" s="63" t="s">
        <v>64</v>
      </c>
      <c r="G31" s="299">
        <f>SUM(G27:H29)/(G11+G18)</f>
        <v>140.8273386353158</v>
      </c>
      <c r="H31" s="300"/>
      <c r="I31" s="22"/>
      <c r="J31" s="299">
        <f>SUM(J27:K29)/(J11+J18)</f>
        <v>155.81226835504685</v>
      </c>
      <c r="K31" s="300"/>
      <c r="L31" s="22"/>
      <c r="M31" s="299">
        <f>SUM(M27:N29)/(M11+M18)</f>
        <v>156.6610931435964</v>
      </c>
      <c r="N31" s="301"/>
      <c r="O31"/>
      <c r="P31" t="s">
        <v>32</v>
      </c>
      <c r="Q31"/>
      <c r="R31"/>
    </row>
    <row r="32" spans="1:14" ht="11.25">
      <c r="A32" s="21" t="s">
        <v>3</v>
      </c>
      <c r="B32" s="22"/>
      <c r="C32" s="4"/>
      <c r="D32" s="4"/>
      <c r="E32" s="3"/>
      <c r="F32" s="3"/>
      <c r="G32" s="8"/>
      <c r="H32" s="8"/>
      <c r="I32" s="3"/>
      <c r="J32" s="8"/>
      <c r="K32" s="8"/>
      <c r="L32" s="3"/>
      <c r="M32" s="8"/>
      <c r="N32" s="25"/>
    </row>
    <row r="33" spans="1:22" ht="11.25">
      <c r="A33" s="20"/>
      <c r="B33" s="22"/>
      <c r="C33" s="4"/>
      <c r="D33" s="48"/>
      <c r="E33" s="49"/>
      <c r="F33" s="50" t="s">
        <v>43</v>
      </c>
      <c r="G33" s="302">
        <v>2.9</v>
      </c>
      <c r="H33" s="303"/>
      <c r="I33" s="56"/>
      <c r="J33" s="302">
        <v>3.4</v>
      </c>
      <c r="K33" s="303"/>
      <c r="L33" s="56"/>
      <c r="M33" s="302">
        <v>4</v>
      </c>
      <c r="N33" s="304"/>
      <c r="O33"/>
      <c r="P33" s="46" t="s">
        <v>47</v>
      </c>
      <c r="Q33" s="47"/>
      <c r="R33" s="47"/>
      <c r="S33" s="46"/>
      <c r="T33" s="46"/>
      <c r="U33" s="46"/>
      <c r="V33" s="46"/>
    </row>
    <row r="34" spans="1:22" ht="11.25">
      <c r="A34" s="20"/>
      <c r="B34" s="22"/>
      <c r="C34" s="4"/>
      <c r="D34" s="48"/>
      <c r="E34" s="49"/>
      <c r="F34" s="50" t="s">
        <v>44</v>
      </c>
      <c r="G34" s="302">
        <v>3.9</v>
      </c>
      <c r="H34" s="303"/>
      <c r="I34" s="56"/>
      <c r="J34" s="302">
        <v>3</v>
      </c>
      <c r="K34" s="303"/>
      <c r="L34" s="56"/>
      <c r="M34" s="302">
        <v>2</v>
      </c>
      <c r="N34" s="304"/>
      <c r="O34"/>
      <c r="P34" s="46" t="s">
        <v>48</v>
      </c>
      <c r="Q34" s="47"/>
      <c r="R34" s="47"/>
      <c r="S34" s="46"/>
      <c r="T34" s="46"/>
      <c r="U34" s="46"/>
      <c r="V34" s="46"/>
    </row>
    <row r="35" spans="1:22" ht="11.25">
      <c r="A35" s="20"/>
      <c r="B35" s="22"/>
      <c r="C35" s="4"/>
      <c r="D35" s="48"/>
      <c r="E35" s="49"/>
      <c r="F35" s="50" t="s">
        <v>45</v>
      </c>
      <c r="G35" s="307">
        <v>0.2</v>
      </c>
      <c r="H35" s="308"/>
      <c r="I35" s="56"/>
      <c r="J35" s="307">
        <v>1</v>
      </c>
      <c r="K35" s="308"/>
      <c r="L35" s="56"/>
      <c r="M35" s="307">
        <v>0.3</v>
      </c>
      <c r="N35" s="309"/>
      <c r="O35"/>
      <c r="P35" s="46" t="s">
        <v>50</v>
      </c>
      <c r="Q35" s="47"/>
      <c r="R35" s="47"/>
      <c r="S35" s="46"/>
      <c r="T35" s="46"/>
      <c r="U35" s="46"/>
      <c r="V35" s="46"/>
    </row>
    <row r="36" spans="1:22" ht="11.25">
      <c r="A36" s="20"/>
      <c r="B36" s="22"/>
      <c r="C36" s="4"/>
      <c r="D36" s="48"/>
      <c r="E36" s="49"/>
      <c r="F36" s="50" t="s">
        <v>46</v>
      </c>
      <c r="G36" s="305"/>
      <c r="H36" s="305"/>
      <c r="I36" s="56"/>
      <c r="J36" s="305"/>
      <c r="K36" s="305"/>
      <c r="L36" s="56"/>
      <c r="M36" s="305"/>
      <c r="N36" s="306"/>
      <c r="O36"/>
      <c r="P36" s="46" t="s">
        <v>49</v>
      </c>
      <c r="Q36" s="47"/>
      <c r="R36" s="47"/>
      <c r="S36" s="46"/>
      <c r="T36" s="46"/>
      <c r="U36" s="46"/>
      <c r="V36" s="46"/>
    </row>
    <row r="37" spans="1:18" s="69" customFormat="1" ht="11.25">
      <c r="A37" s="64"/>
      <c r="B37" s="65"/>
      <c r="C37" s="66"/>
      <c r="D37" s="66"/>
      <c r="E37" s="5"/>
      <c r="F37" s="67"/>
      <c r="G37" s="70"/>
      <c r="H37" s="70"/>
      <c r="I37" s="68"/>
      <c r="J37" s="70"/>
      <c r="K37" s="70"/>
      <c r="L37" s="68"/>
      <c r="M37" s="70"/>
      <c r="N37" s="71"/>
      <c r="O37" s="12"/>
      <c r="Q37" s="12"/>
      <c r="R37" s="12"/>
    </row>
    <row r="38" spans="1:22" ht="11.25">
      <c r="A38" s="20"/>
      <c r="B38" s="22"/>
      <c r="C38" s="4"/>
      <c r="D38" s="48"/>
      <c r="E38" s="49"/>
      <c r="F38" s="50" t="s">
        <v>66</v>
      </c>
      <c r="G38" s="305">
        <v>3020</v>
      </c>
      <c r="H38" s="305"/>
      <c r="I38" s="56"/>
      <c r="J38" s="305">
        <v>2800</v>
      </c>
      <c r="K38" s="305"/>
      <c r="L38" s="56"/>
      <c r="M38" s="305">
        <v>3670</v>
      </c>
      <c r="N38" s="306"/>
      <c r="O38"/>
      <c r="P38" s="46" t="s">
        <v>72</v>
      </c>
      <c r="Q38" s="47"/>
      <c r="R38" s="47"/>
      <c r="S38" s="46"/>
      <c r="T38" s="46"/>
      <c r="U38" s="46"/>
      <c r="V38" s="46"/>
    </row>
    <row r="39" spans="1:22" ht="11.25">
      <c r="A39" s="20"/>
      <c r="B39" s="22"/>
      <c r="C39" s="4"/>
      <c r="D39" s="48"/>
      <c r="E39" s="49"/>
      <c r="F39" s="50" t="s">
        <v>65</v>
      </c>
      <c r="G39" s="299">
        <v>5636</v>
      </c>
      <c r="H39" s="300"/>
      <c r="I39" s="56"/>
      <c r="J39" s="299">
        <v>4924</v>
      </c>
      <c r="K39" s="300"/>
      <c r="L39" s="56"/>
      <c r="M39" s="299">
        <v>3956</v>
      </c>
      <c r="N39" s="301"/>
      <c r="O39"/>
      <c r="P39" s="46" t="s">
        <v>73</v>
      </c>
      <c r="Q39" s="47"/>
      <c r="R39" s="47"/>
      <c r="S39" s="46"/>
      <c r="T39" s="46"/>
      <c r="U39" s="46"/>
      <c r="V39" s="46"/>
    </row>
    <row r="40" spans="1:22" ht="11.25">
      <c r="A40" s="20"/>
      <c r="B40" s="22"/>
      <c r="C40" s="4"/>
      <c r="D40" s="48"/>
      <c r="E40" s="49"/>
      <c r="F40" s="50" t="s">
        <v>67</v>
      </c>
      <c r="G40" s="302">
        <v>192</v>
      </c>
      <c r="H40" s="303"/>
      <c r="I40" s="56"/>
      <c r="J40" s="302">
        <v>632</v>
      </c>
      <c r="K40" s="303"/>
      <c r="L40" s="56"/>
      <c r="M40" s="302">
        <v>352</v>
      </c>
      <c r="N40" s="304"/>
      <c r="O40"/>
      <c r="P40" s="46" t="s">
        <v>75</v>
      </c>
      <c r="Q40" s="47"/>
      <c r="R40" s="47"/>
      <c r="S40" s="46"/>
      <c r="T40" s="46"/>
      <c r="U40" s="46"/>
      <c r="V40" s="46"/>
    </row>
    <row r="41" spans="1:22" ht="11.25">
      <c r="A41" s="20"/>
      <c r="B41" s="22"/>
      <c r="C41" s="4"/>
      <c r="D41" s="48"/>
      <c r="E41" s="49"/>
      <c r="F41" s="50" t="s">
        <v>68</v>
      </c>
      <c r="G41" s="302"/>
      <c r="H41" s="303"/>
      <c r="I41" s="56"/>
      <c r="J41" s="302"/>
      <c r="K41" s="303"/>
      <c r="L41" s="56"/>
      <c r="M41" s="302"/>
      <c r="N41" s="304"/>
      <c r="O41"/>
      <c r="P41" s="46" t="s">
        <v>74</v>
      </c>
      <c r="Q41" s="47"/>
      <c r="R41" s="47"/>
      <c r="S41" s="46"/>
      <c r="T41" s="46"/>
      <c r="U41" s="46"/>
      <c r="V41" s="46"/>
    </row>
    <row r="42" spans="1:18" ht="11.25">
      <c r="A42" s="20"/>
      <c r="B42" s="4"/>
      <c r="C42" s="4"/>
      <c r="D42" s="4"/>
      <c r="E42" s="3"/>
      <c r="F42" s="3"/>
      <c r="G42" s="9"/>
      <c r="H42" s="9"/>
      <c r="I42" s="22"/>
      <c r="J42" s="9"/>
      <c r="K42" s="9"/>
      <c r="L42" s="22"/>
      <c r="M42" s="9"/>
      <c r="N42" s="26"/>
      <c r="O42"/>
      <c r="P42"/>
      <c r="Q42"/>
      <c r="R42"/>
    </row>
    <row r="43" spans="1:18" ht="11.25">
      <c r="A43" s="20"/>
      <c r="B43" s="22"/>
      <c r="C43" s="4"/>
      <c r="D43" s="4"/>
      <c r="E43" s="3"/>
      <c r="F43" s="29" t="s">
        <v>22</v>
      </c>
      <c r="G43" s="302">
        <f>+(G11+G18)/(G33+G34)</f>
        <v>1275.8823529411766</v>
      </c>
      <c r="H43" s="303"/>
      <c r="I43" s="22"/>
      <c r="J43" s="302">
        <f>+(J11+J18)/(J33+J34)</f>
        <v>1283.28125</v>
      </c>
      <c r="K43" s="303"/>
      <c r="L43" s="22"/>
      <c r="M43" s="302">
        <f>+(M11+M18)/(M33+M34)</f>
        <v>1288.3333333333333</v>
      </c>
      <c r="N43" s="303"/>
      <c r="O43"/>
      <c r="P43" t="s">
        <v>32</v>
      </c>
      <c r="Q43"/>
      <c r="R43"/>
    </row>
    <row r="44" spans="1:18" ht="11.25">
      <c r="A44" s="20"/>
      <c r="B44" s="22"/>
      <c r="C44" s="4"/>
      <c r="D44" s="4"/>
      <c r="E44" s="3"/>
      <c r="F44" s="29" t="s">
        <v>216</v>
      </c>
      <c r="G44" s="332">
        <f>(G11+G18)/SUM(G33:H36)</f>
        <v>1239.4285714285713</v>
      </c>
      <c r="H44" s="332"/>
      <c r="I44" s="22"/>
      <c r="J44" s="332">
        <f>(J11+J18)/SUM(J33:K36)</f>
        <v>1109.8648648648648</v>
      </c>
      <c r="K44" s="332"/>
      <c r="L44" s="22"/>
      <c r="M44" s="332">
        <f>(M11+M18)/SUM(M33:N36)</f>
        <v>1226.984126984127</v>
      </c>
      <c r="N44" s="332"/>
      <c r="O44"/>
      <c r="P44"/>
      <c r="Q44"/>
      <c r="R44"/>
    </row>
    <row r="45" spans="1:17" ht="11.25">
      <c r="A45" s="20"/>
      <c r="B45" s="4"/>
      <c r="C45" s="4"/>
      <c r="D45" s="4"/>
      <c r="E45" s="3"/>
      <c r="F45" s="3"/>
      <c r="G45" s="34" t="s">
        <v>24</v>
      </c>
      <c r="H45" s="34" t="s">
        <v>23</v>
      </c>
      <c r="I45" s="28"/>
      <c r="J45" s="34" t="s">
        <v>24</v>
      </c>
      <c r="K45" s="34" t="s">
        <v>23</v>
      </c>
      <c r="L45" s="28"/>
      <c r="M45" s="34" t="s">
        <v>24</v>
      </c>
      <c r="N45" s="35" t="s">
        <v>23</v>
      </c>
      <c r="O45" s="14"/>
      <c r="P45" s="13"/>
      <c r="Q45" s="31"/>
    </row>
    <row r="46" spans="1:22" ht="11.25">
      <c r="A46" s="20"/>
      <c r="B46" s="4"/>
      <c r="C46" s="4"/>
      <c r="D46" s="52"/>
      <c r="E46" s="53"/>
      <c r="F46" s="54" t="s">
        <v>25</v>
      </c>
      <c r="G46" s="76">
        <v>6</v>
      </c>
      <c r="H46" s="32">
        <f>G46/SUM($G$46:$G$49)</f>
        <v>0.75</v>
      </c>
      <c r="I46" s="28"/>
      <c r="J46" s="76">
        <v>6</v>
      </c>
      <c r="K46" s="32">
        <f>J46/SUM($J$46:$J$49)</f>
        <v>0.6666666666666666</v>
      </c>
      <c r="L46" s="28"/>
      <c r="M46" s="76">
        <v>6</v>
      </c>
      <c r="N46" s="36">
        <f>M46/SUM($M$46:$M$49)</f>
        <v>0.75</v>
      </c>
      <c r="O46" s="14"/>
      <c r="P46" s="55" t="s">
        <v>84</v>
      </c>
      <c r="Q46" s="51"/>
      <c r="R46" s="55"/>
      <c r="S46" s="55"/>
      <c r="T46" s="55"/>
      <c r="U46" s="55"/>
      <c r="V46" s="55"/>
    </row>
    <row r="47" spans="1:22" ht="11.25">
      <c r="A47" s="20"/>
      <c r="B47" s="4"/>
      <c r="C47" s="4"/>
      <c r="D47" s="52"/>
      <c r="E47" s="53"/>
      <c r="F47" s="54" t="s">
        <v>13</v>
      </c>
      <c r="G47" s="76">
        <v>2</v>
      </c>
      <c r="H47" s="32">
        <f aca="true" t="shared" si="0" ref="H47:H49">G47/SUM($G$46:$G$49)</f>
        <v>0.25</v>
      </c>
      <c r="I47" s="28"/>
      <c r="J47" s="76">
        <v>3</v>
      </c>
      <c r="K47" s="32">
        <f aca="true" t="shared" si="1" ref="K47:K49">J47/SUM($J$46:$J$49)</f>
        <v>0.3333333333333333</v>
      </c>
      <c r="L47" s="28"/>
      <c r="M47" s="76">
        <v>2</v>
      </c>
      <c r="N47" s="36">
        <f aca="true" t="shared" si="2" ref="N47:N49">M47/SUM($M$46:$M$49)</f>
        <v>0.25</v>
      </c>
      <c r="O47" s="14"/>
      <c r="P47" s="55" t="s">
        <v>84</v>
      </c>
      <c r="Q47" s="51"/>
      <c r="R47" s="55"/>
      <c r="S47" s="55"/>
      <c r="T47" s="55"/>
      <c r="U47" s="55"/>
      <c r="V47" s="55"/>
    </row>
    <row r="48" spans="1:22" ht="11.25">
      <c r="A48" s="20"/>
      <c r="B48" s="4"/>
      <c r="C48" s="4"/>
      <c r="D48" s="52"/>
      <c r="E48" s="53"/>
      <c r="F48" s="54" t="s">
        <v>51</v>
      </c>
      <c r="G48" s="76"/>
      <c r="H48" s="32">
        <f t="shared" si="0"/>
        <v>0</v>
      </c>
      <c r="I48" s="28"/>
      <c r="J48" s="76"/>
      <c r="K48" s="32">
        <f t="shared" si="1"/>
        <v>0</v>
      </c>
      <c r="L48" s="28"/>
      <c r="M48" s="76"/>
      <c r="N48" s="36">
        <f t="shared" si="2"/>
        <v>0</v>
      </c>
      <c r="O48" s="14"/>
      <c r="P48" s="55" t="s">
        <v>85</v>
      </c>
      <c r="Q48" s="51"/>
      <c r="R48" s="55"/>
      <c r="S48" s="55"/>
      <c r="T48" s="55"/>
      <c r="U48" s="55"/>
      <c r="V48" s="55"/>
    </row>
    <row r="49" spans="1:22" ht="11.25">
      <c r="A49" s="20"/>
      <c r="B49" s="4"/>
      <c r="C49" s="4"/>
      <c r="D49" s="52"/>
      <c r="E49" s="53"/>
      <c r="F49" s="54" t="s">
        <v>52</v>
      </c>
      <c r="G49" s="76"/>
      <c r="H49" s="32">
        <f t="shared" si="0"/>
        <v>0</v>
      </c>
      <c r="I49" s="28"/>
      <c r="J49" s="76"/>
      <c r="K49" s="32">
        <f t="shared" si="1"/>
        <v>0</v>
      </c>
      <c r="L49" s="28"/>
      <c r="M49" s="76"/>
      <c r="N49" s="36">
        <f t="shared" si="2"/>
        <v>0</v>
      </c>
      <c r="O49" s="14"/>
      <c r="P49" s="55" t="s">
        <v>85</v>
      </c>
      <c r="Q49" s="51"/>
      <c r="R49" s="55"/>
      <c r="S49" s="55"/>
      <c r="T49" s="55"/>
      <c r="U49" s="55"/>
      <c r="V49" s="55"/>
    </row>
    <row r="50" spans="1:14" ht="11.25">
      <c r="A50" s="21" t="s">
        <v>4</v>
      </c>
      <c r="B50" s="22"/>
      <c r="C50" s="4"/>
      <c r="D50" s="4"/>
      <c r="E50" s="3"/>
      <c r="F50" s="3"/>
      <c r="G50" s="8"/>
      <c r="H50" s="8"/>
      <c r="I50" s="3"/>
      <c r="J50" s="8"/>
      <c r="K50" s="8"/>
      <c r="L50" s="3"/>
      <c r="M50" s="8"/>
      <c r="N50" s="25"/>
    </row>
    <row r="51" spans="1:16" ht="11.25">
      <c r="A51" s="21"/>
      <c r="B51" s="22"/>
      <c r="C51" s="4"/>
      <c r="D51" s="4"/>
      <c r="E51" s="3"/>
      <c r="F51" s="63" t="s">
        <v>77</v>
      </c>
      <c r="G51" s="293">
        <v>0.927</v>
      </c>
      <c r="H51" s="294"/>
      <c r="I51" s="72"/>
      <c r="J51" s="293">
        <v>0.885</v>
      </c>
      <c r="K51" s="294"/>
      <c r="L51" s="72"/>
      <c r="M51" s="293">
        <v>0.904</v>
      </c>
      <c r="N51" s="294"/>
      <c r="P51" s="10" t="s">
        <v>87</v>
      </c>
    </row>
    <row r="52" spans="1:16" ht="11.25">
      <c r="A52" s="21"/>
      <c r="B52" s="22"/>
      <c r="C52" s="4"/>
      <c r="D52" s="4"/>
      <c r="E52" s="3"/>
      <c r="F52" s="63" t="s">
        <v>76</v>
      </c>
      <c r="G52" s="293">
        <v>0.169</v>
      </c>
      <c r="H52" s="294"/>
      <c r="I52" s="72"/>
      <c r="J52" s="293">
        <v>0.2</v>
      </c>
      <c r="K52" s="294"/>
      <c r="L52" s="72"/>
      <c r="M52" s="293">
        <v>0.057</v>
      </c>
      <c r="N52" s="294"/>
      <c r="P52" s="10" t="s">
        <v>79</v>
      </c>
    </row>
    <row r="53" spans="1:16" ht="11" customHeight="1">
      <c r="A53" s="20"/>
      <c r="B53" s="23"/>
      <c r="C53" s="4"/>
      <c r="D53" s="4"/>
      <c r="E53" s="3"/>
      <c r="F53" s="29" t="s">
        <v>10</v>
      </c>
      <c r="G53" s="296">
        <v>11</v>
      </c>
      <c r="H53" s="297"/>
      <c r="I53" s="3"/>
      <c r="J53" s="296">
        <v>3</v>
      </c>
      <c r="K53" s="297"/>
      <c r="L53" s="3"/>
      <c r="M53" s="296">
        <v>4</v>
      </c>
      <c r="N53" s="297"/>
      <c r="P53" s="10" t="s">
        <v>34</v>
      </c>
    </row>
    <row r="54" spans="1:16" ht="11.25">
      <c r="A54" s="20"/>
      <c r="B54" s="23"/>
      <c r="C54" s="4"/>
      <c r="D54" s="4"/>
      <c r="E54" s="3"/>
      <c r="F54" s="29" t="s">
        <v>8</v>
      </c>
      <c r="G54" s="296">
        <v>31</v>
      </c>
      <c r="H54" s="297"/>
      <c r="I54" s="14"/>
      <c r="J54" s="296">
        <v>30</v>
      </c>
      <c r="K54" s="297"/>
      <c r="L54" s="14"/>
      <c r="M54" s="296">
        <v>33</v>
      </c>
      <c r="N54" s="297"/>
      <c r="P54" s="10" t="s">
        <v>36</v>
      </c>
    </row>
    <row r="55" spans="1:16" ht="11.25">
      <c r="A55" s="20"/>
      <c r="B55" s="23"/>
      <c r="C55" s="4"/>
      <c r="D55" s="4"/>
      <c r="E55" s="3"/>
      <c r="F55" s="42" t="s">
        <v>11</v>
      </c>
      <c r="G55" s="296">
        <v>25.3</v>
      </c>
      <c r="H55" s="297"/>
      <c r="I55" s="3"/>
      <c r="J55" s="296">
        <v>25.2</v>
      </c>
      <c r="K55" s="297"/>
      <c r="L55" s="3"/>
      <c r="M55" s="296">
        <v>25.3</v>
      </c>
      <c r="N55" s="297"/>
      <c r="P55" s="10" t="s">
        <v>42</v>
      </c>
    </row>
    <row r="56" spans="1:19" ht="11.25">
      <c r="A56" s="20"/>
      <c r="B56" s="22"/>
      <c r="C56" s="4"/>
      <c r="D56" s="4"/>
      <c r="E56" s="3"/>
      <c r="F56" s="29" t="s">
        <v>9</v>
      </c>
      <c r="G56" s="293">
        <v>0.97</v>
      </c>
      <c r="H56" s="294"/>
      <c r="I56" s="3"/>
      <c r="J56" s="293">
        <v>0.92</v>
      </c>
      <c r="K56" s="294"/>
      <c r="L56" s="3"/>
      <c r="M56" s="293">
        <v>0.93</v>
      </c>
      <c r="N56" s="294"/>
      <c r="P56" s="10" t="s">
        <v>37</v>
      </c>
      <c r="Q56"/>
      <c r="R56"/>
      <c r="S56"/>
    </row>
    <row r="57" spans="1:19" ht="11.25">
      <c r="A57" s="20"/>
      <c r="B57" s="22"/>
      <c r="C57" s="4"/>
      <c r="D57" s="4"/>
      <c r="E57" s="27"/>
      <c r="F57" s="29" t="s">
        <v>12</v>
      </c>
      <c r="G57" s="296">
        <v>0</v>
      </c>
      <c r="H57" s="297"/>
      <c r="I57" s="28"/>
      <c r="J57" s="296">
        <v>1</v>
      </c>
      <c r="K57" s="297"/>
      <c r="L57" s="28"/>
      <c r="M57" s="296">
        <v>0</v>
      </c>
      <c r="N57" s="297"/>
      <c r="P57" s="10" t="s">
        <v>38</v>
      </c>
      <c r="Q57"/>
      <c r="R57"/>
      <c r="S57"/>
    </row>
    <row r="58" spans="1:19" ht="11.25">
      <c r="A58" s="20"/>
      <c r="B58" s="22"/>
      <c r="C58" s="4"/>
      <c r="D58" s="4"/>
      <c r="E58" s="3"/>
      <c r="F58" s="29" t="s">
        <v>19</v>
      </c>
      <c r="G58" s="293">
        <v>0.031</v>
      </c>
      <c r="H58" s="294"/>
      <c r="I58" s="28"/>
      <c r="J58" s="293">
        <v>0.119</v>
      </c>
      <c r="K58" s="294"/>
      <c r="L58" s="28"/>
      <c r="M58" s="293">
        <v>0.07</v>
      </c>
      <c r="N58" s="294"/>
      <c r="P58" s="10" t="s">
        <v>39</v>
      </c>
      <c r="Q58"/>
      <c r="R58"/>
      <c r="S58"/>
    </row>
    <row r="59" spans="1:19" ht="11.25">
      <c r="A59" s="20"/>
      <c r="B59" s="22"/>
      <c r="C59" s="4"/>
      <c r="D59" s="4"/>
      <c r="E59" s="3"/>
      <c r="F59" s="29" t="s">
        <v>0</v>
      </c>
      <c r="G59" s="293">
        <v>0.13</v>
      </c>
      <c r="H59" s="294"/>
      <c r="I59" s="28"/>
      <c r="J59" s="293">
        <v>0.111</v>
      </c>
      <c r="K59" s="294"/>
      <c r="L59" s="28"/>
      <c r="M59" s="293">
        <v>0.029</v>
      </c>
      <c r="N59" s="294"/>
      <c r="P59" s="10" t="s">
        <v>40</v>
      </c>
      <c r="Q59"/>
      <c r="R59"/>
      <c r="S59"/>
    </row>
    <row r="60" spans="1:14" ht="11.25">
      <c r="A60" s="21" t="s">
        <v>1</v>
      </c>
      <c r="B60" s="28"/>
      <c r="C60" s="28"/>
      <c r="D60" s="28"/>
      <c r="E60" s="28"/>
      <c r="F60" s="28"/>
      <c r="G60" s="28"/>
      <c r="H60" s="28"/>
      <c r="I60" s="28"/>
      <c r="J60" s="28"/>
      <c r="K60" s="28"/>
      <c r="L60" s="28"/>
      <c r="M60" s="28"/>
      <c r="N60" s="33"/>
    </row>
    <row r="61" spans="1:16" ht="11.25">
      <c r="A61" s="37"/>
      <c r="B61" s="28"/>
      <c r="C61" s="28"/>
      <c r="D61" s="28"/>
      <c r="E61" s="28"/>
      <c r="F61" s="28"/>
      <c r="G61" s="28"/>
      <c r="H61" s="28"/>
      <c r="I61" s="28"/>
      <c r="J61" s="28"/>
      <c r="K61" s="28"/>
      <c r="L61" s="28"/>
      <c r="M61" s="28"/>
      <c r="N61" s="33"/>
      <c r="P61" t="s">
        <v>35</v>
      </c>
    </row>
    <row r="62" spans="1:14" ht="11.25">
      <c r="A62" s="38"/>
      <c r="B62" s="23"/>
      <c r="C62" s="23"/>
      <c r="D62" s="23"/>
      <c r="E62" s="23"/>
      <c r="F62" s="23"/>
      <c r="G62" s="23"/>
      <c r="H62" s="23"/>
      <c r="I62" s="23"/>
      <c r="J62" s="23"/>
      <c r="K62" s="23"/>
      <c r="L62" s="23"/>
      <c r="M62" s="23"/>
      <c r="N62" s="24"/>
    </row>
    <row r="63" spans="1:14" ht="11.25">
      <c r="A63" s="38"/>
      <c r="B63" s="23"/>
      <c r="C63" s="23"/>
      <c r="D63" s="23"/>
      <c r="E63" s="23"/>
      <c r="F63" s="23"/>
      <c r="G63" s="23"/>
      <c r="H63" s="23"/>
      <c r="I63" s="23"/>
      <c r="J63" s="23"/>
      <c r="K63" s="23"/>
      <c r="L63" s="23"/>
      <c r="M63" s="23"/>
      <c r="N63" s="24"/>
    </row>
    <row r="64" spans="1:16" ht="11.25">
      <c r="A64" s="38"/>
      <c r="B64" s="23"/>
      <c r="C64" s="23"/>
      <c r="D64" s="23"/>
      <c r="E64" s="23"/>
      <c r="F64" s="23"/>
      <c r="G64" s="23"/>
      <c r="H64" s="23"/>
      <c r="I64" s="23"/>
      <c r="J64" s="23"/>
      <c r="K64" s="23"/>
      <c r="L64" s="23"/>
      <c r="M64" s="23"/>
      <c r="N64" s="24"/>
      <c r="P64" s="44" t="s">
        <v>41</v>
      </c>
    </row>
    <row r="65" spans="1:14" ht="11.25">
      <c r="A65" s="38"/>
      <c r="B65" s="23"/>
      <c r="C65" s="23"/>
      <c r="D65" s="23"/>
      <c r="E65" s="23"/>
      <c r="F65" s="23"/>
      <c r="G65" s="23"/>
      <c r="H65" s="23"/>
      <c r="I65" s="23"/>
      <c r="J65" s="23"/>
      <c r="K65" s="23"/>
      <c r="L65" s="23"/>
      <c r="M65" s="23"/>
      <c r="N65" s="24"/>
    </row>
    <row r="66" spans="1:14" ht="12.75" thickBot="1">
      <c r="A66" s="39"/>
      <c r="B66" s="40"/>
      <c r="C66" s="40"/>
      <c r="D66" s="40"/>
      <c r="E66" s="40"/>
      <c r="F66" s="40"/>
      <c r="G66" s="40"/>
      <c r="H66" s="40"/>
      <c r="I66" s="40"/>
      <c r="J66" s="40"/>
      <c r="K66" s="40"/>
      <c r="L66" s="40"/>
      <c r="M66" s="40"/>
      <c r="N66" s="41"/>
    </row>
  </sheetData>
  <mergeCells count="122">
    <mergeCell ref="G5:H5"/>
    <mergeCell ref="G6:H6"/>
    <mergeCell ref="G7:H7"/>
    <mergeCell ref="G8:H8"/>
    <mergeCell ref="G9:H9"/>
    <mergeCell ref="J9:K9"/>
    <mergeCell ref="G2:N2"/>
    <mergeCell ref="G3:H3"/>
    <mergeCell ref="J3:K3"/>
    <mergeCell ref="M3:N3"/>
    <mergeCell ref="G4:H4"/>
    <mergeCell ref="J4:K4"/>
    <mergeCell ref="M4:N4"/>
    <mergeCell ref="G13:H13"/>
    <mergeCell ref="J13:K13"/>
    <mergeCell ref="M13:N13"/>
    <mergeCell ref="G14:H14"/>
    <mergeCell ref="J14:K14"/>
    <mergeCell ref="M14:N14"/>
    <mergeCell ref="M9:N9"/>
    <mergeCell ref="G11:H11"/>
    <mergeCell ref="J11:K11"/>
    <mergeCell ref="M11:N11"/>
    <mergeCell ref="G12:H12"/>
    <mergeCell ref="J12:K12"/>
    <mergeCell ref="M12:N12"/>
    <mergeCell ref="G18:H18"/>
    <mergeCell ref="J18:K18"/>
    <mergeCell ref="M18:N18"/>
    <mergeCell ref="G19:H19"/>
    <mergeCell ref="J19:K19"/>
    <mergeCell ref="M19:N19"/>
    <mergeCell ref="G15:H15"/>
    <mergeCell ref="J15:K15"/>
    <mergeCell ref="M15:N15"/>
    <mergeCell ref="G16:H16"/>
    <mergeCell ref="J16:K16"/>
    <mergeCell ref="M16:N16"/>
    <mergeCell ref="G22:H22"/>
    <mergeCell ref="J22:K22"/>
    <mergeCell ref="M22:N22"/>
    <mergeCell ref="G24:H24"/>
    <mergeCell ref="J24:K24"/>
    <mergeCell ref="M24:N24"/>
    <mergeCell ref="G20:H20"/>
    <mergeCell ref="J20:K20"/>
    <mergeCell ref="M20:N20"/>
    <mergeCell ref="G21:H21"/>
    <mergeCell ref="J21:K21"/>
    <mergeCell ref="M21:N21"/>
    <mergeCell ref="G28:H28"/>
    <mergeCell ref="J28:K28"/>
    <mergeCell ref="M28:N28"/>
    <mergeCell ref="G29:H29"/>
    <mergeCell ref="J29:K29"/>
    <mergeCell ref="M29:N29"/>
    <mergeCell ref="G25:H25"/>
    <mergeCell ref="J25:K25"/>
    <mergeCell ref="M25:N25"/>
    <mergeCell ref="G27:H27"/>
    <mergeCell ref="J27:K27"/>
    <mergeCell ref="M27:N27"/>
    <mergeCell ref="G34:H34"/>
    <mergeCell ref="J34:K34"/>
    <mergeCell ref="M34:N34"/>
    <mergeCell ref="G35:H35"/>
    <mergeCell ref="J35:K35"/>
    <mergeCell ref="M35:N35"/>
    <mergeCell ref="G31:H31"/>
    <mergeCell ref="J31:K31"/>
    <mergeCell ref="M31:N31"/>
    <mergeCell ref="G33:H33"/>
    <mergeCell ref="J33:K33"/>
    <mergeCell ref="M33:N33"/>
    <mergeCell ref="G39:H39"/>
    <mergeCell ref="J39:K39"/>
    <mergeCell ref="M39:N39"/>
    <mergeCell ref="G40:H40"/>
    <mergeCell ref="J40:K40"/>
    <mergeCell ref="M40:N40"/>
    <mergeCell ref="G36:H36"/>
    <mergeCell ref="J36:K36"/>
    <mergeCell ref="M36:N36"/>
    <mergeCell ref="G38:H38"/>
    <mergeCell ref="J38:K38"/>
    <mergeCell ref="M38:N38"/>
    <mergeCell ref="G51:H51"/>
    <mergeCell ref="J51:K51"/>
    <mergeCell ref="M51:N51"/>
    <mergeCell ref="G52:H52"/>
    <mergeCell ref="J52:K52"/>
    <mergeCell ref="M52:N52"/>
    <mergeCell ref="G41:H41"/>
    <mergeCell ref="J41:K41"/>
    <mergeCell ref="M41:N41"/>
    <mergeCell ref="G43:H43"/>
    <mergeCell ref="J43:K43"/>
    <mergeCell ref="M43:N43"/>
    <mergeCell ref="G59:H59"/>
    <mergeCell ref="J59:K59"/>
    <mergeCell ref="M59:N59"/>
    <mergeCell ref="G44:H44"/>
    <mergeCell ref="J44:K44"/>
    <mergeCell ref="M44:N44"/>
    <mergeCell ref="G57:H57"/>
    <mergeCell ref="J57:K57"/>
    <mergeCell ref="M57:N57"/>
    <mergeCell ref="G58:H58"/>
    <mergeCell ref="J58:K58"/>
    <mergeCell ref="M58:N58"/>
    <mergeCell ref="G55:H55"/>
    <mergeCell ref="J55:K55"/>
    <mergeCell ref="M55:N55"/>
    <mergeCell ref="G56:H56"/>
    <mergeCell ref="J56:K56"/>
    <mergeCell ref="M56:N56"/>
    <mergeCell ref="G53:H53"/>
    <mergeCell ref="J53:K53"/>
    <mergeCell ref="M53:N53"/>
    <mergeCell ref="G54:H54"/>
    <mergeCell ref="J54:K54"/>
    <mergeCell ref="M54:N54"/>
  </mergeCells>
  <printOptions/>
  <pageMargins left="0.25" right="0.25" top="0.75" bottom="0.75" header="0.3" footer="0.3"/>
  <pageSetup fitToHeight="1" fitToWidth="1" horizontalDpi="1200" verticalDpi="1200" orientation="portrait" scale="94" r:id="rId3"/>
  <colBreaks count="1" manualBreakCount="1">
    <brk id="14" max="16383" man="1"/>
  </colBreaks>
  <legacyDrawing r:id="rId2"/>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V66"/>
  <sheetViews>
    <sheetView showGridLines="0" workbookViewId="0" topLeftCell="A10">
      <selection activeCell="D14" sqref="D14"/>
    </sheetView>
  </sheetViews>
  <sheetFormatPr defaultColWidth="9.00390625" defaultRowHeight="11.25"/>
  <cols>
    <col min="1" max="1" width="4.625" style="1" customWidth="1"/>
    <col min="2" max="5" width="9.00390625" style="1" customWidth="1"/>
    <col min="6" max="6" width="7.125" style="1" customWidth="1"/>
    <col min="7" max="8" width="9.125" style="1" customWidth="1"/>
    <col min="9" max="9" width="1.75390625" style="1" customWidth="1"/>
    <col min="10" max="11" width="9.125" style="1" customWidth="1"/>
    <col min="12" max="12" width="1.75390625" style="1" customWidth="1"/>
    <col min="13" max="14" width="9.125" style="1" customWidth="1"/>
    <col min="15" max="15" width="3.75390625" style="10" customWidth="1"/>
    <col min="16" max="16384" width="9.00390625" style="10" customWidth="1"/>
  </cols>
  <sheetData>
    <row r="1" spans="1:14" s="12" customFormat="1" ht="11.25">
      <c r="A1" s="17" t="s">
        <v>88</v>
      </c>
      <c r="B1" s="18"/>
      <c r="C1" s="18"/>
      <c r="D1" s="18"/>
      <c r="E1" s="18"/>
      <c r="F1" s="18"/>
      <c r="G1" s="18"/>
      <c r="H1" s="18"/>
      <c r="I1" s="18"/>
      <c r="J1" s="18"/>
      <c r="K1" s="18"/>
      <c r="L1" s="18"/>
      <c r="M1" s="18"/>
      <c r="N1" s="19"/>
    </row>
    <row r="2" spans="1:16" s="12" customFormat="1" ht="11.25">
      <c r="A2" s="20" t="s">
        <v>89</v>
      </c>
      <c r="B2" s="15"/>
      <c r="C2" s="15"/>
      <c r="D2" s="15"/>
      <c r="E2" s="15"/>
      <c r="F2" s="15"/>
      <c r="G2" s="328" t="s">
        <v>26</v>
      </c>
      <c r="H2" s="328"/>
      <c r="I2" s="328"/>
      <c r="J2" s="328"/>
      <c r="K2" s="328"/>
      <c r="L2" s="328"/>
      <c r="M2" s="328"/>
      <c r="N2" s="329"/>
      <c r="P2" s="43" t="s">
        <v>27</v>
      </c>
    </row>
    <row r="3" spans="1:14" ht="11.25">
      <c r="A3" s="45"/>
      <c r="B3" s="2"/>
      <c r="C3" s="2"/>
      <c r="D3" s="2"/>
      <c r="E3" s="2"/>
      <c r="F3" s="16" t="s">
        <v>14</v>
      </c>
      <c r="G3" s="330">
        <v>19</v>
      </c>
      <c r="H3" s="327"/>
      <c r="I3" s="2"/>
      <c r="J3" s="330">
        <v>18</v>
      </c>
      <c r="K3" s="327"/>
      <c r="L3" s="2"/>
      <c r="M3" s="330">
        <v>17</v>
      </c>
      <c r="N3" s="331"/>
    </row>
    <row r="4" spans="1:14" ht="11.25">
      <c r="A4" s="20"/>
      <c r="B4" s="2"/>
      <c r="C4" s="2"/>
      <c r="D4" s="2"/>
      <c r="E4" s="2"/>
      <c r="F4" s="16" t="s">
        <v>15</v>
      </c>
      <c r="G4" s="330" t="s">
        <v>80</v>
      </c>
      <c r="H4" s="327"/>
      <c r="I4" s="2"/>
      <c r="J4" s="330" t="s">
        <v>81</v>
      </c>
      <c r="K4" s="327"/>
      <c r="L4" s="2"/>
      <c r="M4" s="330" t="s">
        <v>82</v>
      </c>
      <c r="N4" s="331"/>
    </row>
    <row r="5" spans="1:14" ht="11.25">
      <c r="A5" s="20"/>
      <c r="B5" s="2"/>
      <c r="C5" s="2"/>
      <c r="D5" s="2"/>
      <c r="E5" s="2"/>
      <c r="F5" s="16" t="s">
        <v>16</v>
      </c>
      <c r="G5" s="321" t="s">
        <v>99</v>
      </c>
      <c r="H5" s="322"/>
      <c r="I5" s="2"/>
      <c r="J5" s="28"/>
      <c r="K5" s="28"/>
      <c r="L5" s="28"/>
      <c r="M5" s="28"/>
      <c r="N5" s="33"/>
    </row>
    <row r="6" spans="1:14" ht="11.25">
      <c r="A6" s="20"/>
      <c r="B6" s="2"/>
      <c r="C6" s="2"/>
      <c r="D6" s="2"/>
      <c r="E6" s="2"/>
      <c r="F6" s="16" t="s">
        <v>17</v>
      </c>
      <c r="G6" s="323" t="s">
        <v>150</v>
      </c>
      <c r="H6" s="323"/>
      <c r="I6" s="2"/>
      <c r="J6" s="28"/>
      <c r="K6" s="28"/>
      <c r="L6" s="28"/>
      <c r="M6" s="28"/>
      <c r="N6" s="33"/>
    </row>
    <row r="7" spans="1:14" ht="11.25">
      <c r="A7" s="20"/>
      <c r="B7" s="2"/>
      <c r="C7" s="2"/>
      <c r="D7" s="2"/>
      <c r="E7" s="2"/>
      <c r="F7" s="16" t="s">
        <v>33</v>
      </c>
      <c r="G7" s="324" t="s">
        <v>97</v>
      </c>
      <c r="H7" s="325"/>
      <c r="I7" s="2"/>
      <c r="J7" s="28"/>
      <c r="K7" s="28"/>
      <c r="L7" s="28"/>
      <c r="M7" s="28"/>
      <c r="N7" s="33"/>
    </row>
    <row r="8" spans="1:14" ht="11.25">
      <c r="A8" s="20"/>
      <c r="B8" s="2"/>
      <c r="C8" s="2"/>
      <c r="D8" s="2"/>
      <c r="E8" s="2"/>
      <c r="F8" s="16" t="s">
        <v>18</v>
      </c>
      <c r="G8" s="326">
        <v>43922</v>
      </c>
      <c r="H8" s="327"/>
      <c r="I8" s="2"/>
      <c r="J8" s="28"/>
      <c r="K8" s="28"/>
      <c r="L8" s="28"/>
      <c r="M8" s="28"/>
      <c r="N8" s="33"/>
    </row>
    <row r="9" spans="1:14" ht="12.75">
      <c r="A9" s="21" t="s">
        <v>2</v>
      </c>
      <c r="B9" s="22"/>
      <c r="C9" s="4"/>
      <c r="D9" s="4"/>
      <c r="E9" s="3"/>
      <c r="F9" s="3"/>
      <c r="G9" s="319"/>
      <c r="H9" s="319"/>
      <c r="I9" s="3"/>
      <c r="J9" s="319"/>
      <c r="K9" s="319"/>
      <c r="L9" s="3"/>
      <c r="M9" s="319"/>
      <c r="N9" s="320"/>
    </row>
    <row r="10" spans="1:15" ht="12.75">
      <c r="A10" s="20"/>
      <c r="B10" s="22" t="s">
        <v>56</v>
      </c>
      <c r="C10" s="4"/>
      <c r="D10" s="4"/>
      <c r="E10" s="3"/>
      <c r="F10" s="29"/>
      <c r="G10" s="58"/>
      <c r="H10" s="58"/>
      <c r="I10" s="5"/>
      <c r="J10" s="58"/>
      <c r="K10" s="58"/>
      <c r="L10" s="5"/>
      <c r="M10" s="58"/>
      <c r="N10" s="59"/>
      <c r="O10" s="11"/>
    </row>
    <row r="11" spans="1:16" ht="11.25">
      <c r="A11" s="20"/>
      <c r="B11" s="22"/>
      <c r="C11" s="6"/>
      <c r="D11" s="6"/>
      <c r="E11" s="7"/>
      <c r="F11" s="30" t="s">
        <v>7</v>
      </c>
      <c r="G11" s="313">
        <v>1204</v>
      </c>
      <c r="H11" s="314"/>
      <c r="I11" s="5"/>
      <c r="J11" s="313">
        <v>1310</v>
      </c>
      <c r="K11" s="314"/>
      <c r="L11" s="5"/>
      <c r="M11" s="313">
        <v>1726</v>
      </c>
      <c r="N11" s="315"/>
      <c r="P11" s="10" t="s">
        <v>28</v>
      </c>
    </row>
    <row r="12" spans="1:16" ht="12.75">
      <c r="A12" s="20"/>
      <c r="B12" s="22"/>
      <c r="C12" s="4"/>
      <c r="D12" s="4"/>
      <c r="E12" s="3"/>
      <c r="F12" s="29" t="s">
        <v>5</v>
      </c>
      <c r="G12" s="316">
        <v>-0.165</v>
      </c>
      <c r="H12" s="317"/>
      <c r="I12" s="5"/>
      <c r="J12" s="316">
        <v>-0.112</v>
      </c>
      <c r="K12" s="317"/>
      <c r="L12" s="5"/>
      <c r="M12" s="316">
        <v>-0.04</v>
      </c>
      <c r="N12" s="318"/>
      <c r="O12" s="11"/>
      <c r="P12" s="10" t="s">
        <v>29</v>
      </c>
    </row>
    <row r="13" spans="1:16" ht="12.75">
      <c r="A13" s="20"/>
      <c r="B13" s="22"/>
      <c r="C13" s="4"/>
      <c r="D13" s="4"/>
      <c r="E13" s="3"/>
      <c r="F13" s="29" t="s">
        <v>53</v>
      </c>
      <c r="G13" s="313">
        <v>1</v>
      </c>
      <c r="H13" s="314"/>
      <c r="I13" s="5"/>
      <c r="J13" s="313">
        <v>1</v>
      </c>
      <c r="K13" s="314"/>
      <c r="L13" s="5"/>
      <c r="M13" s="313">
        <v>1</v>
      </c>
      <c r="N13" s="315"/>
      <c r="O13" s="11"/>
      <c r="P13" s="10" t="s">
        <v>71</v>
      </c>
    </row>
    <row r="14" spans="1:16" ht="12.75">
      <c r="A14" s="20"/>
      <c r="B14" s="22"/>
      <c r="C14" s="4"/>
      <c r="D14" s="4"/>
      <c r="E14" s="3"/>
      <c r="F14" s="29" t="s">
        <v>54</v>
      </c>
      <c r="G14" s="313">
        <v>12</v>
      </c>
      <c r="H14" s="314"/>
      <c r="I14" s="5"/>
      <c r="J14" s="313">
        <v>24</v>
      </c>
      <c r="K14" s="314"/>
      <c r="L14" s="5"/>
      <c r="M14" s="313">
        <v>19</v>
      </c>
      <c r="N14" s="315"/>
      <c r="O14" s="11"/>
      <c r="P14" s="10" t="s">
        <v>117</v>
      </c>
    </row>
    <row r="15" spans="1:16" ht="12.75">
      <c r="A15" s="20"/>
      <c r="B15" s="22"/>
      <c r="C15" s="4"/>
      <c r="D15" s="4"/>
      <c r="E15" s="3"/>
      <c r="F15" s="29" t="s">
        <v>55</v>
      </c>
      <c r="G15" s="313">
        <v>22</v>
      </c>
      <c r="H15" s="314"/>
      <c r="I15" s="5"/>
      <c r="J15" s="313">
        <v>21</v>
      </c>
      <c r="K15" s="314"/>
      <c r="L15" s="5"/>
      <c r="M15" s="313">
        <v>24</v>
      </c>
      <c r="N15" s="315"/>
      <c r="O15" s="11"/>
      <c r="P15" s="10" t="s">
        <v>69</v>
      </c>
    </row>
    <row r="16" spans="1:16" ht="12.75">
      <c r="A16" s="20"/>
      <c r="B16" s="22"/>
      <c r="C16" s="4"/>
      <c r="D16" s="4"/>
      <c r="E16" s="3"/>
      <c r="F16" s="29" t="s">
        <v>78</v>
      </c>
      <c r="G16" s="313">
        <v>9</v>
      </c>
      <c r="H16" s="314"/>
      <c r="I16" s="5"/>
      <c r="J16" s="313">
        <v>8</v>
      </c>
      <c r="K16" s="314"/>
      <c r="L16" s="5"/>
      <c r="M16" s="313">
        <v>15</v>
      </c>
      <c r="N16" s="315"/>
      <c r="O16" s="11"/>
      <c r="P16" s="10" t="s">
        <v>86</v>
      </c>
    </row>
    <row r="17" spans="1:15" ht="12.75">
      <c r="A17" s="20"/>
      <c r="B17" s="22" t="s">
        <v>57</v>
      </c>
      <c r="C17" s="4"/>
      <c r="D17" s="4"/>
      <c r="E17" s="3"/>
      <c r="F17" s="29"/>
      <c r="G17" s="58"/>
      <c r="H17" s="58"/>
      <c r="I17" s="5"/>
      <c r="J17" s="58"/>
      <c r="K17" s="58"/>
      <c r="L17" s="5"/>
      <c r="M17" s="58"/>
      <c r="N17" s="59"/>
      <c r="O17" s="11"/>
    </row>
    <row r="18" spans="1:16" ht="11.25">
      <c r="A18" s="20"/>
      <c r="B18" s="22"/>
      <c r="C18" s="6"/>
      <c r="D18" s="6"/>
      <c r="E18" s="7"/>
      <c r="F18" s="30" t="s">
        <v>7</v>
      </c>
      <c r="G18" s="313"/>
      <c r="H18" s="314"/>
      <c r="I18" s="5"/>
      <c r="J18" s="313"/>
      <c r="K18" s="314"/>
      <c r="L18" s="5"/>
      <c r="M18" s="313"/>
      <c r="N18" s="315"/>
      <c r="P18" s="10" t="s">
        <v>28</v>
      </c>
    </row>
    <row r="19" spans="1:16" ht="12.75">
      <c r="A19" s="20"/>
      <c r="B19" s="22"/>
      <c r="C19" s="4"/>
      <c r="D19" s="4"/>
      <c r="E19" s="3"/>
      <c r="F19" s="29" t="s">
        <v>5</v>
      </c>
      <c r="G19" s="316"/>
      <c r="H19" s="317"/>
      <c r="I19" s="5"/>
      <c r="J19" s="316"/>
      <c r="K19" s="317"/>
      <c r="L19" s="5"/>
      <c r="M19" s="316"/>
      <c r="N19" s="318"/>
      <c r="O19" s="11"/>
      <c r="P19" s="10" t="s">
        <v>29</v>
      </c>
    </row>
    <row r="20" spans="1:16" ht="12.75">
      <c r="A20" s="20"/>
      <c r="B20" s="22"/>
      <c r="C20" s="4"/>
      <c r="D20" s="4"/>
      <c r="E20" s="3"/>
      <c r="F20" s="29" t="s">
        <v>58</v>
      </c>
      <c r="G20" s="313"/>
      <c r="H20" s="314"/>
      <c r="I20" s="5"/>
      <c r="J20" s="313"/>
      <c r="K20" s="314"/>
      <c r="L20" s="5"/>
      <c r="M20" s="313"/>
      <c r="N20" s="315"/>
      <c r="O20" s="11"/>
      <c r="P20" s="10" t="s">
        <v>71</v>
      </c>
    </row>
    <row r="21" spans="1:16" ht="12.75">
      <c r="A21" s="20"/>
      <c r="B21" s="22"/>
      <c r="C21" s="4"/>
      <c r="D21" s="4"/>
      <c r="E21" s="3"/>
      <c r="F21" s="29" t="s">
        <v>59</v>
      </c>
      <c r="G21" s="313"/>
      <c r="H21" s="314"/>
      <c r="I21" s="5"/>
      <c r="J21" s="313"/>
      <c r="K21" s="314"/>
      <c r="L21" s="5"/>
      <c r="M21" s="313"/>
      <c r="N21" s="315"/>
      <c r="O21" s="11"/>
      <c r="P21" s="10" t="s">
        <v>83</v>
      </c>
    </row>
    <row r="22" spans="1:16" ht="12.75">
      <c r="A22" s="20"/>
      <c r="B22" s="22"/>
      <c r="C22" s="4"/>
      <c r="D22" s="4"/>
      <c r="E22" s="3"/>
      <c r="F22" s="29" t="s">
        <v>78</v>
      </c>
      <c r="G22" s="313"/>
      <c r="H22" s="314"/>
      <c r="I22" s="5"/>
      <c r="J22" s="313"/>
      <c r="K22" s="314"/>
      <c r="L22" s="5"/>
      <c r="M22" s="313"/>
      <c r="N22" s="315"/>
      <c r="O22" s="11"/>
      <c r="P22" s="10" t="s">
        <v>86</v>
      </c>
    </row>
    <row r="23" spans="1:14" ht="11.25">
      <c r="A23" s="20"/>
      <c r="B23" s="4" t="s">
        <v>6</v>
      </c>
      <c r="C23" s="4"/>
      <c r="D23" s="4"/>
      <c r="E23" s="3"/>
      <c r="F23" s="3"/>
      <c r="G23" s="23"/>
      <c r="H23" s="23"/>
      <c r="I23" s="5"/>
      <c r="J23" s="23"/>
      <c r="K23" s="23"/>
      <c r="L23" s="5"/>
      <c r="M23" s="23"/>
      <c r="N23" s="24"/>
    </row>
    <row r="24" spans="1:16" ht="11.25">
      <c r="A24" s="20"/>
      <c r="B24" s="22"/>
      <c r="C24" s="4"/>
      <c r="D24" s="4"/>
      <c r="E24" s="3"/>
      <c r="F24" s="29" t="s">
        <v>20</v>
      </c>
      <c r="G24" s="293">
        <v>0.523</v>
      </c>
      <c r="H24" s="294"/>
      <c r="I24" s="3"/>
      <c r="J24" s="293">
        <v>0.477</v>
      </c>
      <c r="K24" s="294"/>
      <c r="L24" s="3"/>
      <c r="M24" s="293">
        <v>0.505</v>
      </c>
      <c r="N24" s="295"/>
      <c r="P24" s="10" t="s">
        <v>30</v>
      </c>
    </row>
    <row r="25" spans="1:16" ht="11.25">
      <c r="A25" s="20"/>
      <c r="B25" s="22"/>
      <c r="C25" s="4"/>
      <c r="D25" s="4"/>
      <c r="E25" s="3"/>
      <c r="F25" s="29" t="s">
        <v>21</v>
      </c>
      <c r="G25" s="293">
        <v>0.477</v>
      </c>
      <c r="H25" s="294"/>
      <c r="I25" s="3"/>
      <c r="J25" s="293">
        <v>0.524</v>
      </c>
      <c r="K25" s="294"/>
      <c r="L25" s="3"/>
      <c r="M25" s="293">
        <v>0.495</v>
      </c>
      <c r="N25" s="295"/>
      <c r="P25" s="10" t="s">
        <v>31</v>
      </c>
    </row>
    <row r="26" spans="1:14" ht="11.25">
      <c r="A26" s="62" t="s">
        <v>60</v>
      </c>
      <c r="B26" s="22"/>
      <c r="C26" s="4"/>
      <c r="D26" s="4"/>
      <c r="E26" s="3"/>
      <c r="F26" s="29"/>
      <c r="G26" s="60"/>
      <c r="H26" s="60"/>
      <c r="I26" s="5"/>
      <c r="J26" s="60"/>
      <c r="K26" s="60"/>
      <c r="L26" s="5"/>
      <c r="M26" s="60"/>
      <c r="N26" s="61"/>
    </row>
    <row r="27" spans="1:16" ht="11.25">
      <c r="A27" s="20"/>
      <c r="B27" s="22"/>
      <c r="C27" s="4"/>
      <c r="D27" s="4"/>
      <c r="E27" s="3"/>
      <c r="F27" s="29" t="s">
        <v>61</v>
      </c>
      <c r="G27" s="313">
        <f>102269+97563</f>
        <v>199832</v>
      </c>
      <c r="H27" s="314"/>
      <c r="I27" s="5"/>
      <c r="J27" s="313">
        <f>75572+99514</f>
        <v>175086</v>
      </c>
      <c r="K27" s="314"/>
      <c r="L27" s="5"/>
      <c r="M27" s="313">
        <f>97743+74090</f>
        <v>171833</v>
      </c>
      <c r="N27" s="315"/>
      <c r="P27" s="10" t="s">
        <v>91</v>
      </c>
    </row>
    <row r="28" spans="1:16" ht="11.25">
      <c r="A28" s="20"/>
      <c r="B28" s="22"/>
      <c r="C28" s="4"/>
      <c r="D28" s="4"/>
      <c r="E28" s="3"/>
      <c r="F28" s="29" t="s">
        <v>62</v>
      </c>
      <c r="G28" s="313">
        <v>0</v>
      </c>
      <c r="H28" s="314"/>
      <c r="I28" s="5"/>
      <c r="J28" s="313">
        <v>0</v>
      </c>
      <c r="K28" s="314"/>
      <c r="L28" s="5"/>
      <c r="M28" s="313">
        <v>0</v>
      </c>
      <c r="N28" s="315"/>
      <c r="P28" s="10" t="s">
        <v>91</v>
      </c>
    </row>
    <row r="29" spans="1:16" ht="11.25">
      <c r="A29" s="20"/>
      <c r="B29" s="22"/>
      <c r="C29" s="4"/>
      <c r="D29" s="4"/>
      <c r="E29" s="3"/>
      <c r="F29" s="29" t="s">
        <v>63</v>
      </c>
      <c r="G29" s="310">
        <f>30315+29449</f>
        <v>59764</v>
      </c>
      <c r="H29" s="311"/>
      <c r="I29" s="5"/>
      <c r="J29" s="310">
        <f>25212+29728</f>
        <v>54940</v>
      </c>
      <c r="K29" s="311"/>
      <c r="L29" s="5"/>
      <c r="M29" s="310">
        <f>29085+24661</f>
        <v>53746</v>
      </c>
      <c r="N29" s="312"/>
      <c r="P29" s="10" t="s">
        <v>90</v>
      </c>
    </row>
    <row r="30" spans="1:14" ht="11.25">
      <c r="A30" s="20"/>
      <c r="B30" s="22"/>
      <c r="C30" s="4"/>
      <c r="D30" s="4"/>
      <c r="E30" s="3"/>
      <c r="F30" s="29"/>
      <c r="G30" s="73"/>
      <c r="H30" s="74"/>
      <c r="I30" s="5"/>
      <c r="J30" s="73"/>
      <c r="K30" s="74"/>
      <c r="L30" s="5"/>
      <c r="M30" s="73"/>
      <c r="N30" s="75"/>
    </row>
    <row r="31" spans="1:18" ht="11.25">
      <c r="A31" s="20"/>
      <c r="B31" s="4"/>
      <c r="C31" s="4"/>
      <c r="D31" s="4"/>
      <c r="E31" s="3"/>
      <c r="F31" s="63" t="s">
        <v>64</v>
      </c>
      <c r="G31" s="299">
        <f>SUM(G27:H29)/(G11+G18)</f>
        <v>215.61129568106313</v>
      </c>
      <c r="H31" s="300"/>
      <c r="I31" s="22"/>
      <c r="J31" s="299">
        <f>SUM(J27:K29)/(J11+J18)</f>
        <v>175.59236641221375</v>
      </c>
      <c r="K31" s="300"/>
      <c r="L31" s="22"/>
      <c r="M31" s="299">
        <f>SUM(M27:N29)/(M11+M18)</f>
        <v>130.6946697566628</v>
      </c>
      <c r="N31" s="301"/>
      <c r="O31"/>
      <c r="P31" t="s">
        <v>32</v>
      </c>
      <c r="Q31"/>
      <c r="R31"/>
    </row>
    <row r="32" spans="1:14" ht="11.25">
      <c r="A32" s="21" t="s">
        <v>3</v>
      </c>
      <c r="B32" s="22"/>
      <c r="C32" s="4"/>
      <c r="D32" s="4"/>
      <c r="E32" s="3"/>
      <c r="F32" s="3"/>
      <c r="G32" s="8"/>
      <c r="H32" s="8"/>
      <c r="I32" s="3"/>
      <c r="J32" s="8"/>
      <c r="K32" s="8"/>
      <c r="L32" s="3"/>
      <c r="M32" s="8"/>
      <c r="N32" s="25"/>
    </row>
    <row r="33" spans="1:22" ht="11.25">
      <c r="A33" s="20"/>
      <c r="B33" s="22"/>
      <c r="C33" s="4"/>
      <c r="D33" s="48"/>
      <c r="E33" s="49"/>
      <c r="F33" s="50" t="s">
        <v>43</v>
      </c>
      <c r="G33" s="302">
        <v>1.7</v>
      </c>
      <c r="H33" s="303"/>
      <c r="I33" s="56"/>
      <c r="J33" s="302">
        <v>1.6</v>
      </c>
      <c r="K33" s="303"/>
      <c r="L33" s="56"/>
      <c r="M33" s="302">
        <v>1.9</v>
      </c>
      <c r="N33" s="304"/>
      <c r="O33"/>
      <c r="P33" s="46" t="s">
        <v>47</v>
      </c>
      <c r="Q33" s="47"/>
      <c r="R33" s="47"/>
      <c r="S33" s="46"/>
      <c r="T33" s="46"/>
      <c r="U33" s="46"/>
      <c r="V33" s="46"/>
    </row>
    <row r="34" spans="1:22" ht="11.25">
      <c r="A34" s="20"/>
      <c r="B34" s="22"/>
      <c r="C34" s="4"/>
      <c r="D34" s="48"/>
      <c r="E34" s="49"/>
      <c r="F34" s="50" t="s">
        <v>44</v>
      </c>
      <c r="G34" s="302">
        <f>0.3/36*45</f>
        <v>0.375</v>
      </c>
      <c r="H34" s="303"/>
      <c r="I34" s="56"/>
      <c r="J34" s="302">
        <f>0.1/36*45</f>
        <v>0.125</v>
      </c>
      <c r="K34" s="303"/>
      <c r="L34" s="56"/>
      <c r="M34" s="302">
        <v>0</v>
      </c>
      <c r="N34" s="304"/>
      <c r="O34"/>
      <c r="P34" s="46" t="s">
        <v>48</v>
      </c>
      <c r="Q34" s="47"/>
      <c r="R34" s="47"/>
      <c r="S34" s="46"/>
      <c r="T34" s="46"/>
      <c r="U34" s="46"/>
      <c r="V34" s="46"/>
    </row>
    <row r="35" spans="1:22" ht="11.25">
      <c r="A35" s="20"/>
      <c r="B35" s="22"/>
      <c r="C35" s="4"/>
      <c r="D35" s="48"/>
      <c r="E35" s="49"/>
      <c r="F35" s="50" t="s">
        <v>45</v>
      </c>
      <c r="G35" s="307">
        <f>0.7/36*45</f>
        <v>0.875</v>
      </c>
      <c r="H35" s="308"/>
      <c r="I35" s="56"/>
      <c r="J35" s="307">
        <f>0.7/36*45</f>
        <v>0.875</v>
      </c>
      <c r="K35" s="308"/>
      <c r="L35" s="56"/>
      <c r="M35" s="307">
        <f>0.1/36*45</f>
        <v>0.125</v>
      </c>
      <c r="N35" s="309"/>
      <c r="O35"/>
      <c r="P35" s="46" t="s">
        <v>50</v>
      </c>
      <c r="Q35" s="47"/>
      <c r="R35" s="47"/>
      <c r="S35" s="46"/>
      <c r="T35" s="46"/>
      <c r="U35" s="46"/>
      <c r="V35" s="46"/>
    </row>
    <row r="36" spans="1:22" ht="11.25">
      <c r="A36" s="20"/>
      <c r="B36" s="22"/>
      <c r="C36" s="4"/>
      <c r="D36" s="48"/>
      <c r="E36" s="49"/>
      <c r="F36" s="50" t="s">
        <v>46</v>
      </c>
      <c r="G36" s="305">
        <v>0</v>
      </c>
      <c r="H36" s="305"/>
      <c r="I36" s="56"/>
      <c r="J36" s="305">
        <v>0</v>
      </c>
      <c r="K36" s="305"/>
      <c r="L36" s="56"/>
      <c r="M36" s="305">
        <v>0</v>
      </c>
      <c r="N36" s="306"/>
      <c r="O36"/>
      <c r="P36" s="46" t="s">
        <v>49</v>
      </c>
      <c r="Q36" s="47"/>
      <c r="R36" s="47"/>
      <c r="S36" s="46"/>
      <c r="T36" s="46"/>
      <c r="U36" s="46"/>
      <c r="V36" s="46"/>
    </row>
    <row r="37" spans="1:18" s="69" customFormat="1" ht="11.25">
      <c r="A37" s="64"/>
      <c r="B37" s="65"/>
      <c r="C37" s="66"/>
      <c r="D37" s="66"/>
      <c r="E37" s="5"/>
      <c r="F37" s="67"/>
      <c r="G37" s="70"/>
      <c r="H37" s="70"/>
      <c r="I37" s="68"/>
      <c r="J37" s="70"/>
      <c r="K37" s="70"/>
      <c r="L37" s="68"/>
      <c r="M37" s="70"/>
      <c r="N37" s="71"/>
      <c r="O37" s="12"/>
      <c r="Q37" s="12"/>
      <c r="R37" s="12"/>
    </row>
    <row r="38" spans="1:22" ht="11.25">
      <c r="A38" s="20"/>
      <c r="B38" s="22"/>
      <c r="C38" s="4"/>
      <c r="D38" s="48"/>
      <c r="E38" s="49"/>
      <c r="F38" s="50" t="s">
        <v>66</v>
      </c>
      <c r="G38" s="305">
        <f>558+45</f>
        <v>603</v>
      </c>
      <c r="H38" s="305"/>
      <c r="I38" s="56"/>
      <c r="J38" s="305">
        <v>894</v>
      </c>
      <c r="K38" s="305"/>
      <c r="L38" s="56"/>
      <c r="M38" s="305">
        <v>1198</v>
      </c>
      <c r="N38" s="306"/>
      <c r="O38"/>
      <c r="P38" s="46" t="s">
        <v>72</v>
      </c>
      <c r="Q38" s="47"/>
      <c r="R38" s="47"/>
      <c r="S38" s="46"/>
      <c r="T38" s="46"/>
      <c r="U38" s="46"/>
      <c r="V38" s="46"/>
    </row>
    <row r="39" spans="1:22" ht="11.25">
      <c r="A39" s="20"/>
      <c r="B39" s="22"/>
      <c r="C39" s="4"/>
      <c r="D39" s="48"/>
      <c r="E39" s="49"/>
      <c r="F39" s="50" t="s">
        <v>65</v>
      </c>
      <c r="G39" s="299">
        <v>56</v>
      </c>
      <c r="H39" s="300"/>
      <c r="I39" s="56"/>
      <c r="J39" s="299">
        <v>65</v>
      </c>
      <c r="K39" s="300"/>
      <c r="L39" s="56"/>
      <c r="M39" s="299">
        <v>0</v>
      </c>
      <c r="N39" s="301"/>
      <c r="O39"/>
      <c r="P39" s="46" t="s">
        <v>73</v>
      </c>
      <c r="Q39" s="47"/>
      <c r="R39" s="47"/>
      <c r="S39" s="46"/>
      <c r="T39" s="46"/>
      <c r="U39" s="46"/>
      <c r="V39" s="46"/>
    </row>
    <row r="40" spans="1:22" ht="11.25">
      <c r="A40" s="20"/>
      <c r="B40" s="22"/>
      <c r="C40" s="4"/>
      <c r="D40" s="48"/>
      <c r="E40" s="49"/>
      <c r="F40" s="50" t="s">
        <v>67</v>
      </c>
      <c r="G40" s="302">
        <v>545</v>
      </c>
      <c r="H40" s="303"/>
      <c r="I40" s="56"/>
      <c r="J40" s="302">
        <v>351</v>
      </c>
      <c r="K40" s="303"/>
      <c r="L40" s="56"/>
      <c r="M40" s="302">
        <v>24</v>
      </c>
      <c r="N40" s="304"/>
      <c r="O40"/>
      <c r="P40" s="46" t="s">
        <v>75</v>
      </c>
      <c r="Q40" s="47"/>
      <c r="R40" s="47"/>
      <c r="S40" s="46"/>
      <c r="T40" s="46"/>
      <c r="U40" s="46"/>
      <c r="V40" s="46"/>
    </row>
    <row r="41" spans="1:22" ht="11.25">
      <c r="A41" s="20"/>
      <c r="B41" s="22"/>
      <c r="C41" s="4"/>
      <c r="D41" s="48"/>
      <c r="E41" s="49"/>
      <c r="F41" s="50" t="s">
        <v>68</v>
      </c>
      <c r="G41" s="302">
        <v>0</v>
      </c>
      <c r="H41" s="303"/>
      <c r="I41" s="56"/>
      <c r="J41" s="302">
        <v>0</v>
      </c>
      <c r="K41" s="303"/>
      <c r="L41" s="56"/>
      <c r="M41" s="302">
        <v>0</v>
      </c>
      <c r="N41" s="304"/>
      <c r="O41"/>
      <c r="P41" s="46" t="s">
        <v>74</v>
      </c>
      <c r="Q41" s="47"/>
      <c r="R41" s="47"/>
      <c r="S41" s="46"/>
      <c r="T41" s="46"/>
      <c r="U41" s="46"/>
      <c r="V41" s="46"/>
    </row>
    <row r="42" spans="1:18" ht="11.25">
      <c r="A42" s="20"/>
      <c r="B42" s="4"/>
      <c r="C42" s="4"/>
      <c r="D42" s="4"/>
      <c r="E42" s="3"/>
      <c r="F42" s="3"/>
      <c r="G42" s="9"/>
      <c r="H42" s="9"/>
      <c r="I42" s="22"/>
      <c r="J42" s="9"/>
      <c r="K42" s="9"/>
      <c r="L42" s="22"/>
      <c r="M42" s="9"/>
      <c r="N42" s="26"/>
      <c r="O42"/>
      <c r="P42"/>
      <c r="Q42"/>
      <c r="R42"/>
    </row>
    <row r="43" spans="1:18" ht="11.25">
      <c r="A43" s="20"/>
      <c r="B43" s="22"/>
      <c r="C43" s="4"/>
      <c r="D43" s="4"/>
      <c r="E43" s="3"/>
      <c r="F43" s="29" t="s">
        <v>22</v>
      </c>
      <c r="G43" s="302">
        <f>+(G11+G18)/(G33+G34)</f>
        <v>580.2409638554217</v>
      </c>
      <c r="H43" s="303"/>
      <c r="I43" s="22"/>
      <c r="J43" s="302">
        <f>+(J11+J18)/(J33+J34)</f>
        <v>759.4202898550724</v>
      </c>
      <c r="K43" s="303"/>
      <c r="L43" s="22"/>
      <c r="M43" s="302">
        <f>+(M11+M18)/(M33+M34)</f>
        <v>908.421052631579</v>
      </c>
      <c r="N43" s="303"/>
      <c r="O43"/>
      <c r="P43" t="s">
        <v>32</v>
      </c>
      <c r="Q43"/>
      <c r="R43"/>
    </row>
    <row r="44" spans="1:18" ht="11.25">
      <c r="A44" s="20"/>
      <c r="B44" s="22"/>
      <c r="C44" s="4"/>
      <c r="D44" s="4"/>
      <c r="E44" s="3"/>
      <c r="F44" s="29" t="s">
        <v>216</v>
      </c>
      <c r="G44" s="332">
        <f>(G11+G18)/SUM(G33:H36)</f>
        <v>408.13559322033893</v>
      </c>
      <c r="H44" s="332"/>
      <c r="I44" s="22"/>
      <c r="J44" s="332">
        <f>(J11+J18)/SUM(J33:K36)</f>
        <v>503.8461538461538</v>
      </c>
      <c r="K44" s="332"/>
      <c r="L44" s="22"/>
      <c r="M44" s="332">
        <f>(M11+M18)/SUM(M33:N36)</f>
        <v>852.3456790123457</v>
      </c>
      <c r="N44" s="332"/>
      <c r="O44"/>
      <c r="P44"/>
      <c r="Q44"/>
      <c r="R44"/>
    </row>
    <row r="45" spans="1:17" ht="11.25">
      <c r="A45" s="20"/>
      <c r="B45" s="4"/>
      <c r="C45" s="4"/>
      <c r="D45" s="4"/>
      <c r="E45" s="3"/>
      <c r="F45" s="3"/>
      <c r="G45" s="34" t="s">
        <v>24</v>
      </c>
      <c r="H45" s="34" t="s">
        <v>23</v>
      </c>
      <c r="I45" s="28"/>
      <c r="J45" s="34" t="s">
        <v>24</v>
      </c>
      <c r="K45" s="34" t="s">
        <v>23</v>
      </c>
      <c r="L45" s="28"/>
      <c r="M45" s="34" t="s">
        <v>24</v>
      </c>
      <c r="N45" s="35" t="s">
        <v>23</v>
      </c>
      <c r="O45" s="14"/>
      <c r="P45" s="13"/>
      <c r="Q45" s="31"/>
    </row>
    <row r="46" spans="1:22" ht="11.25">
      <c r="A46" s="20"/>
      <c r="B46" s="4"/>
      <c r="C46" s="4"/>
      <c r="D46" s="52"/>
      <c r="E46" s="53"/>
      <c r="F46" s="54" t="s">
        <v>25</v>
      </c>
      <c r="G46" s="76">
        <v>2</v>
      </c>
      <c r="H46" s="32">
        <f>G46/SUM($G$46:$G$49)</f>
        <v>1</v>
      </c>
      <c r="I46" s="28"/>
      <c r="J46" s="76">
        <v>2</v>
      </c>
      <c r="K46" s="32">
        <f>J46/SUM($J$46:$J$49)</f>
        <v>1</v>
      </c>
      <c r="L46" s="28"/>
      <c r="M46" s="76">
        <v>2</v>
      </c>
      <c r="N46" s="36">
        <f>M46/SUM($M$46:$M$49)</f>
        <v>1</v>
      </c>
      <c r="O46" s="14"/>
      <c r="P46" s="55" t="s">
        <v>84</v>
      </c>
      <c r="Q46" s="51"/>
      <c r="R46" s="55"/>
      <c r="S46" s="55"/>
      <c r="T46" s="55"/>
      <c r="U46" s="55"/>
      <c r="V46" s="55"/>
    </row>
    <row r="47" spans="1:22" ht="11.25">
      <c r="A47" s="20"/>
      <c r="B47" s="4"/>
      <c r="C47" s="4"/>
      <c r="D47" s="52"/>
      <c r="E47" s="53"/>
      <c r="F47" s="54" t="s">
        <v>13</v>
      </c>
      <c r="G47" s="76">
        <v>0</v>
      </c>
      <c r="H47" s="32">
        <f aca="true" t="shared" si="0" ref="H47:H49">G47/SUM($G$46:$G$49)</f>
        <v>0</v>
      </c>
      <c r="I47" s="28"/>
      <c r="J47" s="76">
        <v>0</v>
      </c>
      <c r="K47" s="32">
        <f aca="true" t="shared" si="1" ref="K47:K49">J47/SUM($J$46:$J$49)</f>
        <v>0</v>
      </c>
      <c r="L47" s="28"/>
      <c r="M47" s="76">
        <v>0</v>
      </c>
      <c r="N47" s="36">
        <f aca="true" t="shared" si="2" ref="N47:N49">M47/SUM($M$46:$M$49)</f>
        <v>0</v>
      </c>
      <c r="O47" s="14"/>
      <c r="P47" s="55" t="s">
        <v>84</v>
      </c>
      <c r="Q47" s="51"/>
      <c r="R47" s="55"/>
      <c r="S47" s="55"/>
      <c r="T47" s="55"/>
      <c r="U47" s="55"/>
      <c r="V47" s="55"/>
    </row>
    <row r="48" spans="1:22" ht="11.25">
      <c r="A48" s="20"/>
      <c r="B48" s="4"/>
      <c r="C48" s="4"/>
      <c r="D48" s="52"/>
      <c r="E48" s="53"/>
      <c r="F48" s="54" t="s">
        <v>51</v>
      </c>
      <c r="G48" s="76">
        <v>0</v>
      </c>
      <c r="H48" s="32">
        <f t="shared" si="0"/>
        <v>0</v>
      </c>
      <c r="I48" s="28"/>
      <c r="J48" s="76">
        <v>0</v>
      </c>
      <c r="K48" s="32">
        <f t="shared" si="1"/>
        <v>0</v>
      </c>
      <c r="L48" s="28"/>
      <c r="M48" s="76">
        <v>0</v>
      </c>
      <c r="N48" s="36">
        <f t="shared" si="2"/>
        <v>0</v>
      </c>
      <c r="O48" s="14"/>
      <c r="P48" s="55" t="s">
        <v>85</v>
      </c>
      <c r="Q48" s="51"/>
      <c r="R48" s="55"/>
      <c r="S48" s="55"/>
      <c r="T48" s="55"/>
      <c r="U48" s="55"/>
      <c r="V48" s="55"/>
    </row>
    <row r="49" spans="1:22" ht="11.25">
      <c r="A49" s="20"/>
      <c r="B49" s="4"/>
      <c r="C49" s="4"/>
      <c r="D49" s="52"/>
      <c r="E49" s="53"/>
      <c r="F49" s="54" t="s">
        <v>52</v>
      </c>
      <c r="G49" s="76">
        <v>0</v>
      </c>
      <c r="H49" s="32">
        <f t="shared" si="0"/>
        <v>0</v>
      </c>
      <c r="I49" s="28"/>
      <c r="J49" s="76">
        <v>0</v>
      </c>
      <c r="K49" s="32">
        <f t="shared" si="1"/>
        <v>0</v>
      </c>
      <c r="L49" s="28"/>
      <c r="M49" s="76">
        <v>0</v>
      </c>
      <c r="N49" s="36">
        <f t="shared" si="2"/>
        <v>0</v>
      </c>
      <c r="O49" s="14"/>
      <c r="P49" s="55" t="s">
        <v>85</v>
      </c>
      <c r="Q49" s="51"/>
      <c r="R49" s="55"/>
      <c r="S49" s="55"/>
      <c r="T49" s="55"/>
      <c r="U49" s="55"/>
      <c r="V49" s="55"/>
    </row>
    <row r="50" spans="1:14" ht="11.25">
      <c r="A50" s="21" t="s">
        <v>4</v>
      </c>
      <c r="B50" s="22"/>
      <c r="C50" s="4"/>
      <c r="D50" s="4"/>
      <c r="E50" s="3"/>
      <c r="F50" s="3"/>
      <c r="G50" s="8"/>
      <c r="H50" s="8"/>
      <c r="I50" s="3"/>
      <c r="J50" s="8"/>
      <c r="K50" s="8"/>
      <c r="L50" s="3"/>
      <c r="M50" s="8"/>
      <c r="N50" s="25"/>
    </row>
    <row r="51" spans="1:16" ht="11.25">
      <c r="A51" s="21"/>
      <c r="B51" s="22"/>
      <c r="C51" s="4"/>
      <c r="D51" s="4"/>
      <c r="E51" s="3"/>
      <c r="F51" s="63" t="s">
        <v>77</v>
      </c>
      <c r="G51" s="293">
        <v>0.939</v>
      </c>
      <c r="H51" s="294"/>
      <c r="I51" s="72"/>
      <c r="J51" s="293">
        <v>0.928</v>
      </c>
      <c r="K51" s="294"/>
      <c r="L51" s="72"/>
      <c r="M51" s="293">
        <v>0.963</v>
      </c>
      <c r="N51" s="295"/>
      <c r="P51" s="10" t="s">
        <v>87</v>
      </c>
    </row>
    <row r="52" spans="1:16" ht="11.25">
      <c r="A52" s="21"/>
      <c r="B52" s="22"/>
      <c r="C52" s="4"/>
      <c r="D52" s="4"/>
      <c r="E52" s="3"/>
      <c r="F52" s="63" t="s">
        <v>76</v>
      </c>
      <c r="G52" s="293">
        <v>0.076</v>
      </c>
      <c r="H52" s="294"/>
      <c r="I52" s="72"/>
      <c r="J52" s="293">
        <v>0.126</v>
      </c>
      <c r="K52" s="294"/>
      <c r="L52" s="72"/>
      <c r="M52" s="293">
        <v>0.081</v>
      </c>
      <c r="N52" s="295"/>
      <c r="P52" s="10" t="s">
        <v>79</v>
      </c>
    </row>
    <row r="53" spans="1:16" ht="11" customHeight="1">
      <c r="A53" s="20"/>
      <c r="B53" s="23"/>
      <c r="C53" s="4"/>
      <c r="D53" s="4"/>
      <c r="E53" s="3"/>
      <c r="F53" s="29" t="s">
        <v>10</v>
      </c>
      <c r="G53" s="296">
        <v>2</v>
      </c>
      <c r="H53" s="297"/>
      <c r="I53" s="3"/>
      <c r="J53" s="296">
        <v>0</v>
      </c>
      <c r="K53" s="297"/>
      <c r="L53" s="3"/>
      <c r="M53" s="296">
        <v>6</v>
      </c>
      <c r="N53" s="298"/>
      <c r="P53" s="10" t="s">
        <v>34</v>
      </c>
    </row>
    <row r="54" spans="1:16" ht="11.25">
      <c r="A54" s="20"/>
      <c r="B54" s="23"/>
      <c r="C54" s="4"/>
      <c r="D54" s="4"/>
      <c r="E54" s="3"/>
      <c r="F54" s="29" t="s">
        <v>8</v>
      </c>
      <c r="G54" s="296">
        <v>14</v>
      </c>
      <c r="H54" s="297"/>
      <c r="I54" s="14"/>
      <c r="J54" s="296">
        <v>12</v>
      </c>
      <c r="K54" s="297"/>
      <c r="L54" s="14"/>
      <c r="M54" s="296">
        <v>23</v>
      </c>
      <c r="N54" s="298"/>
      <c r="P54" s="10" t="s">
        <v>36</v>
      </c>
    </row>
    <row r="55" spans="1:16" ht="11.25">
      <c r="A55" s="20"/>
      <c r="B55" s="23"/>
      <c r="C55" s="4"/>
      <c r="D55" s="4"/>
      <c r="E55" s="3"/>
      <c r="F55" s="42" t="s">
        <v>11</v>
      </c>
      <c r="G55" s="296">
        <v>19.1</v>
      </c>
      <c r="H55" s="297"/>
      <c r="I55" s="3"/>
      <c r="J55" s="296">
        <v>19.5</v>
      </c>
      <c r="K55" s="297"/>
      <c r="L55" s="3"/>
      <c r="M55" s="296">
        <v>19.2</v>
      </c>
      <c r="N55" s="298"/>
      <c r="P55" s="10" t="s">
        <v>42</v>
      </c>
    </row>
    <row r="56" spans="1:19" ht="11.25">
      <c r="A56" s="20"/>
      <c r="B56" s="22"/>
      <c r="C56" s="4"/>
      <c r="D56" s="4"/>
      <c r="E56" s="3"/>
      <c r="F56" s="29" t="s">
        <v>9</v>
      </c>
      <c r="G56" s="293">
        <v>0.56</v>
      </c>
      <c r="H56" s="294"/>
      <c r="I56" s="3"/>
      <c r="J56" s="293">
        <v>0.43</v>
      </c>
      <c r="K56" s="294"/>
      <c r="L56" s="3"/>
      <c r="M56" s="293">
        <v>0.84</v>
      </c>
      <c r="N56" s="295"/>
      <c r="P56" s="10" t="s">
        <v>37</v>
      </c>
      <c r="Q56"/>
      <c r="R56"/>
      <c r="S56"/>
    </row>
    <row r="57" spans="1:19" ht="11.25">
      <c r="A57" s="20"/>
      <c r="B57" s="22"/>
      <c r="C57" s="4"/>
      <c r="D57" s="4"/>
      <c r="E57" s="27"/>
      <c r="F57" s="29" t="s">
        <v>12</v>
      </c>
      <c r="G57" s="296">
        <v>0</v>
      </c>
      <c r="H57" s="297"/>
      <c r="I57" s="28"/>
      <c r="J57" s="296">
        <v>0</v>
      </c>
      <c r="K57" s="297"/>
      <c r="L57" s="28"/>
      <c r="M57" s="296">
        <v>0</v>
      </c>
      <c r="N57" s="298"/>
      <c r="P57" s="10" t="s">
        <v>38</v>
      </c>
      <c r="Q57"/>
      <c r="R57"/>
      <c r="S57"/>
    </row>
    <row r="58" spans="1:19" ht="11.25">
      <c r="A58" s="20"/>
      <c r="B58" s="22"/>
      <c r="C58" s="4"/>
      <c r="D58" s="4"/>
      <c r="E58" s="3"/>
      <c r="F58" s="29" t="s">
        <v>19</v>
      </c>
      <c r="G58" s="293">
        <v>0.3</v>
      </c>
      <c r="H58" s="294"/>
      <c r="I58" s="28"/>
      <c r="J58" s="293">
        <v>0.318</v>
      </c>
      <c r="K58" s="294"/>
      <c r="L58" s="28"/>
      <c r="M58" s="293">
        <v>0.05</v>
      </c>
      <c r="N58" s="295"/>
      <c r="P58" s="10" t="s">
        <v>39</v>
      </c>
      <c r="Q58"/>
      <c r="R58"/>
      <c r="S58"/>
    </row>
    <row r="59" spans="1:19" ht="11.25">
      <c r="A59" s="20"/>
      <c r="B59" s="22"/>
      <c r="C59" s="4"/>
      <c r="D59" s="4"/>
      <c r="E59" s="3"/>
      <c r="F59" s="29" t="s">
        <v>0</v>
      </c>
      <c r="G59" s="293">
        <v>0</v>
      </c>
      <c r="H59" s="294"/>
      <c r="I59" s="28"/>
      <c r="J59" s="293">
        <v>0.033</v>
      </c>
      <c r="K59" s="294"/>
      <c r="L59" s="28"/>
      <c r="M59" s="293">
        <v>0</v>
      </c>
      <c r="N59" s="295"/>
      <c r="P59" s="10" t="s">
        <v>40</v>
      </c>
      <c r="Q59"/>
      <c r="R59"/>
      <c r="S59"/>
    </row>
    <row r="60" spans="1:14" ht="11.25">
      <c r="A60" s="21" t="s">
        <v>1</v>
      </c>
      <c r="B60" s="28"/>
      <c r="C60" s="28"/>
      <c r="D60" s="28"/>
      <c r="E60" s="28"/>
      <c r="F60" s="28"/>
      <c r="G60" s="28"/>
      <c r="H60" s="28"/>
      <c r="I60" s="28"/>
      <c r="J60" s="28"/>
      <c r="K60" s="28"/>
      <c r="L60" s="28"/>
      <c r="M60" s="28"/>
      <c r="N60" s="33"/>
    </row>
    <row r="61" spans="1:16" ht="11.25">
      <c r="A61" s="37" t="s">
        <v>151</v>
      </c>
      <c r="B61" s="28"/>
      <c r="C61" s="28"/>
      <c r="D61" s="28"/>
      <c r="E61" s="28"/>
      <c r="F61" s="28"/>
      <c r="G61" s="28"/>
      <c r="H61" s="28"/>
      <c r="I61" s="28"/>
      <c r="J61" s="28"/>
      <c r="K61" s="28"/>
      <c r="L61" s="28"/>
      <c r="M61" s="28"/>
      <c r="N61" s="33"/>
      <c r="P61" t="s">
        <v>35</v>
      </c>
    </row>
    <row r="62" spans="1:14" ht="11.25">
      <c r="A62" s="38"/>
      <c r="B62" s="23"/>
      <c r="C62" s="23"/>
      <c r="D62" s="23"/>
      <c r="E62" s="23"/>
      <c r="F62" s="23"/>
      <c r="G62" s="23"/>
      <c r="H62" s="23"/>
      <c r="I62" s="23"/>
      <c r="J62" s="23"/>
      <c r="K62" s="23"/>
      <c r="L62" s="23"/>
      <c r="M62" s="23"/>
      <c r="N62" s="24"/>
    </row>
    <row r="63" spans="1:14" ht="11.25">
      <c r="A63" s="38"/>
      <c r="B63" s="23"/>
      <c r="C63" s="23"/>
      <c r="D63" s="23"/>
      <c r="E63" s="23"/>
      <c r="F63" s="23"/>
      <c r="G63" s="23"/>
      <c r="H63" s="23"/>
      <c r="I63" s="23"/>
      <c r="J63" s="23"/>
      <c r="K63" s="23"/>
      <c r="L63" s="23"/>
      <c r="M63" s="23"/>
      <c r="N63" s="24"/>
    </row>
    <row r="64" spans="1:16" ht="11.25">
      <c r="A64" s="38"/>
      <c r="B64" s="23"/>
      <c r="C64" s="23"/>
      <c r="D64" s="23"/>
      <c r="E64" s="23"/>
      <c r="F64" s="23"/>
      <c r="G64" s="23"/>
      <c r="H64" s="23"/>
      <c r="I64" s="23"/>
      <c r="J64" s="23"/>
      <c r="K64" s="23"/>
      <c r="L64" s="23"/>
      <c r="M64" s="23"/>
      <c r="N64" s="24"/>
      <c r="P64" s="44" t="s">
        <v>41</v>
      </c>
    </row>
    <row r="65" spans="1:14" ht="11.25">
      <c r="A65" s="38"/>
      <c r="B65" s="23"/>
      <c r="C65" s="23"/>
      <c r="D65" s="23"/>
      <c r="E65" s="23"/>
      <c r="F65" s="23"/>
      <c r="G65" s="23"/>
      <c r="H65" s="23"/>
      <c r="I65" s="23"/>
      <c r="J65" s="23"/>
      <c r="K65" s="23"/>
      <c r="L65" s="23"/>
      <c r="M65" s="23"/>
      <c r="N65" s="24"/>
    </row>
    <row r="66" spans="1:14" ht="12.75" thickBot="1">
      <c r="A66" s="39"/>
      <c r="B66" s="40"/>
      <c r="C66" s="40"/>
      <c r="D66" s="40"/>
      <c r="E66" s="40"/>
      <c r="F66" s="40"/>
      <c r="G66" s="40"/>
      <c r="H66" s="40"/>
      <c r="I66" s="40"/>
      <c r="J66" s="40"/>
      <c r="K66" s="40"/>
      <c r="L66" s="40"/>
      <c r="M66" s="40"/>
      <c r="N66" s="41"/>
    </row>
  </sheetData>
  <mergeCells count="122">
    <mergeCell ref="G5:H5"/>
    <mergeCell ref="G6:H6"/>
    <mergeCell ref="G7:H7"/>
    <mergeCell ref="G8:H8"/>
    <mergeCell ref="G9:H9"/>
    <mergeCell ref="J9:K9"/>
    <mergeCell ref="G2:N2"/>
    <mergeCell ref="G3:H3"/>
    <mergeCell ref="J3:K3"/>
    <mergeCell ref="M3:N3"/>
    <mergeCell ref="G4:H4"/>
    <mergeCell ref="J4:K4"/>
    <mergeCell ref="M4:N4"/>
    <mergeCell ref="G13:H13"/>
    <mergeCell ref="J13:K13"/>
    <mergeCell ref="M13:N13"/>
    <mergeCell ref="G14:H14"/>
    <mergeCell ref="J14:K14"/>
    <mergeCell ref="M14:N14"/>
    <mergeCell ref="M9:N9"/>
    <mergeCell ref="G11:H11"/>
    <mergeCell ref="J11:K11"/>
    <mergeCell ref="M11:N11"/>
    <mergeCell ref="G12:H12"/>
    <mergeCell ref="J12:K12"/>
    <mergeCell ref="M12:N12"/>
    <mergeCell ref="G18:H18"/>
    <mergeCell ref="J18:K18"/>
    <mergeCell ref="M18:N18"/>
    <mergeCell ref="G19:H19"/>
    <mergeCell ref="J19:K19"/>
    <mergeCell ref="M19:N19"/>
    <mergeCell ref="G15:H15"/>
    <mergeCell ref="J15:K15"/>
    <mergeCell ref="M15:N15"/>
    <mergeCell ref="G16:H16"/>
    <mergeCell ref="J16:K16"/>
    <mergeCell ref="M16:N16"/>
    <mergeCell ref="G22:H22"/>
    <mergeCell ref="J22:K22"/>
    <mergeCell ref="M22:N22"/>
    <mergeCell ref="G24:H24"/>
    <mergeCell ref="J24:K24"/>
    <mergeCell ref="M24:N24"/>
    <mergeCell ref="G20:H20"/>
    <mergeCell ref="J20:K20"/>
    <mergeCell ref="M20:N20"/>
    <mergeCell ref="G21:H21"/>
    <mergeCell ref="J21:K21"/>
    <mergeCell ref="M21:N21"/>
    <mergeCell ref="G28:H28"/>
    <mergeCell ref="J28:K28"/>
    <mergeCell ref="M28:N28"/>
    <mergeCell ref="G29:H29"/>
    <mergeCell ref="J29:K29"/>
    <mergeCell ref="M29:N29"/>
    <mergeCell ref="G25:H25"/>
    <mergeCell ref="J25:K25"/>
    <mergeCell ref="M25:N25"/>
    <mergeCell ref="G27:H27"/>
    <mergeCell ref="J27:K27"/>
    <mergeCell ref="M27:N27"/>
    <mergeCell ref="G34:H34"/>
    <mergeCell ref="J34:K34"/>
    <mergeCell ref="M34:N34"/>
    <mergeCell ref="G35:H35"/>
    <mergeCell ref="J35:K35"/>
    <mergeCell ref="M35:N35"/>
    <mergeCell ref="G31:H31"/>
    <mergeCell ref="J31:K31"/>
    <mergeCell ref="M31:N31"/>
    <mergeCell ref="G33:H33"/>
    <mergeCell ref="J33:K33"/>
    <mergeCell ref="M33:N33"/>
    <mergeCell ref="G39:H39"/>
    <mergeCell ref="J39:K39"/>
    <mergeCell ref="M39:N39"/>
    <mergeCell ref="G40:H40"/>
    <mergeCell ref="J40:K40"/>
    <mergeCell ref="M40:N40"/>
    <mergeCell ref="G36:H36"/>
    <mergeCell ref="J36:K36"/>
    <mergeCell ref="M36:N36"/>
    <mergeCell ref="G38:H38"/>
    <mergeCell ref="J38:K38"/>
    <mergeCell ref="M38:N38"/>
    <mergeCell ref="G51:H51"/>
    <mergeCell ref="J51:K51"/>
    <mergeCell ref="M51:N51"/>
    <mergeCell ref="G52:H52"/>
    <mergeCell ref="J52:K52"/>
    <mergeCell ref="M52:N52"/>
    <mergeCell ref="G41:H41"/>
    <mergeCell ref="J41:K41"/>
    <mergeCell ref="M41:N41"/>
    <mergeCell ref="G43:H43"/>
    <mergeCell ref="J43:K43"/>
    <mergeCell ref="M43:N43"/>
    <mergeCell ref="G59:H59"/>
    <mergeCell ref="J59:K59"/>
    <mergeCell ref="M59:N59"/>
    <mergeCell ref="G44:H44"/>
    <mergeCell ref="J44:K44"/>
    <mergeCell ref="M44:N44"/>
    <mergeCell ref="G57:H57"/>
    <mergeCell ref="J57:K57"/>
    <mergeCell ref="M57:N57"/>
    <mergeCell ref="G58:H58"/>
    <mergeCell ref="J58:K58"/>
    <mergeCell ref="M58:N58"/>
    <mergeCell ref="G55:H55"/>
    <mergeCell ref="J55:K55"/>
    <mergeCell ref="M55:N55"/>
    <mergeCell ref="G56:H56"/>
    <mergeCell ref="J56:K56"/>
    <mergeCell ref="M56:N56"/>
    <mergeCell ref="G53:H53"/>
    <mergeCell ref="J53:K53"/>
    <mergeCell ref="M53:N53"/>
    <mergeCell ref="G54:H54"/>
    <mergeCell ref="J54:K54"/>
    <mergeCell ref="M54:N54"/>
  </mergeCells>
  <printOptions/>
  <pageMargins left="0.25" right="0.25" top="0.75" bottom="0.75" header="0.3" footer="0.3"/>
  <pageSetup fitToHeight="1" fitToWidth="1" horizontalDpi="1200" verticalDpi="1200" orientation="portrait" scale="94" r:id="rId3"/>
  <colBreaks count="1" manualBreakCount="1">
    <brk id="14" max="16383" man="1"/>
  </colBreaks>
  <legacyDrawing r:id="rId2"/>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V66"/>
  <sheetViews>
    <sheetView showGridLines="0" workbookViewId="0" topLeftCell="A13">
      <selection activeCell="M43" sqref="M43:N43"/>
    </sheetView>
  </sheetViews>
  <sheetFormatPr defaultColWidth="9.00390625" defaultRowHeight="11.25"/>
  <cols>
    <col min="1" max="1" width="4.625" style="1" customWidth="1"/>
    <col min="2" max="5" width="9.00390625" style="1" customWidth="1"/>
    <col min="6" max="6" width="7.125" style="1" customWidth="1"/>
    <col min="7" max="8" width="9.125" style="1" customWidth="1"/>
    <col min="9" max="9" width="1.75390625" style="1" customWidth="1"/>
    <col min="10" max="11" width="9.125" style="1" customWidth="1"/>
    <col min="12" max="12" width="1.75390625" style="1" customWidth="1"/>
    <col min="13" max="14" width="9.125" style="1" customWidth="1"/>
    <col min="15" max="15" width="3.75390625" style="10" customWidth="1"/>
    <col min="16" max="16384" width="9.00390625" style="10" customWidth="1"/>
  </cols>
  <sheetData>
    <row r="1" spans="1:14" s="12" customFormat="1" ht="11.25">
      <c r="A1" s="17" t="s">
        <v>88</v>
      </c>
      <c r="B1" s="18"/>
      <c r="C1" s="18"/>
      <c r="D1" s="18"/>
      <c r="E1" s="18"/>
      <c r="F1" s="18"/>
      <c r="G1" s="18"/>
      <c r="H1" s="18"/>
      <c r="I1" s="18"/>
      <c r="J1" s="18"/>
      <c r="K1" s="18"/>
      <c r="L1" s="18"/>
      <c r="M1" s="18"/>
      <c r="N1" s="19"/>
    </row>
    <row r="2" spans="1:16" s="12" customFormat="1" ht="11.25">
      <c r="A2" s="20" t="s">
        <v>89</v>
      </c>
      <c r="B2" s="15"/>
      <c r="C2" s="15"/>
      <c r="D2" s="15"/>
      <c r="E2" s="15"/>
      <c r="F2" s="15"/>
      <c r="G2" s="328" t="s">
        <v>26</v>
      </c>
      <c r="H2" s="328"/>
      <c r="I2" s="328"/>
      <c r="J2" s="328"/>
      <c r="K2" s="328"/>
      <c r="L2" s="328"/>
      <c r="M2" s="328"/>
      <c r="N2" s="329"/>
      <c r="P2" s="43" t="s">
        <v>27</v>
      </c>
    </row>
    <row r="3" spans="1:14" ht="11.25">
      <c r="A3" s="45"/>
      <c r="B3" s="2"/>
      <c r="C3" s="2"/>
      <c r="D3" s="2"/>
      <c r="E3" s="2"/>
      <c r="F3" s="16" t="s">
        <v>14</v>
      </c>
      <c r="G3" s="330">
        <v>19</v>
      </c>
      <c r="H3" s="327"/>
      <c r="I3" s="2"/>
      <c r="J3" s="330">
        <v>18</v>
      </c>
      <c r="K3" s="327"/>
      <c r="L3" s="2"/>
      <c r="M3" s="330">
        <v>17</v>
      </c>
      <c r="N3" s="331"/>
    </row>
    <row r="4" spans="1:14" ht="11.25">
      <c r="A4" s="20"/>
      <c r="B4" s="2"/>
      <c r="C4" s="2"/>
      <c r="D4" s="2"/>
      <c r="E4" s="2"/>
      <c r="F4" s="16" t="s">
        <v>15</v>
      </c>
      <c r="G4" s="330" t="s">
        <v>80</v>
      </c>
      <c r="H4" s="327"/>
      <c r="I4" s="2"/>
      <c r="J4" s="330" t="s">
        <v>81</v>
      </c>
      <c r="K4" s="327"/>
      <c r="L4" s="2"/>
      <c r="M4" s="330" t="s">
        <v>82</v>
      </c>
      <c r="N4" s="331"/>
    </row>
    <row r="5" spans="1:14" ht="11.25">
      <c r="A5" s="20"/>
      <c r="B5" s="2"/>
      <c r="C5" s="2"/>
      <c r="D5" s="2"/>
      <c r="E5" s="2"/>
      <c r="F5" s="16" t="s">
        <v>16</v>
      </c>
      <c r="G5" s="321" t="s">
        <v>102</v>
      </c>
      <c r="H5" s="322"/>
      <c r="I5" s="2"/>
      <c r="J5" s="28"/>
      <c r="K5" s="28"/>
      <c r="L5" s="28"/>
      <c r="M5" s="28"/>
      <c r="N5" s="33"/>
    </row>
    <row r="6" spans="1:14" ht="11.25">
      <c r="A6" s="20"/>
      <c r="B6" s="2"/>
      <c r="C6" s="2"/>
      <c r="D6" s="2"/>
      <c r="E6" s="2"/>
      <c r="F6" s="16" t="s">
        <v>17</v>
      </c>
      <c r="G6" s="323" t="s">
        <v>152</v>
      </c>
      <c r="H6" s="323"/>
      <c r="I6" s="2"/>
      <c r="J6" s="28"/>
      <c r="K6" s="28"/>
      <c r="L6" s="28"/>
      <c r="M6" s="28"/>
      <c r="N6" s="33"/>
    </row>
    <row r="7" spans="1:14" ht="11.25">
      <c r="A7" s="20"/>
      <c r="B7" s="2"/>
      <c r="C7" s="2"/>
      <c r="D7" s="2"/>
      <c r="E7" s="2"/>
      <c r="F7" s="16" t="s">
        <v>33</v>
      </c>
      <c r="G7" s="324" t="s">
        <v>101</v>
      </c>
      <c r="H7" s="325"/>
      <c r="I7" s="2"/>
      <c r="J7" s="28"/>
      <c r="K7" s="28"/>
      <c r="L7" s="28"/>
      <c r="M7" s="28"/>
      <c r="N7" s="33"/>
    </row>
    <row r="8" spans="1:14" ht="11.25">
      <c r="A8" s="20"/>
      <c r="B8" s="2"/>
      <c r="C8" s="2"/>
      <c r="D8" s="2"/>
      <c r="E8" s="2"/>
      <c r="F8" s="16" t="s">
        <v>18</v>
      </c>
      <c r="G8" s="326">
        <v>43923</v>
      </c>
      <c r="H8" s="327"/>
      <c r="I8" s="2"/>
      <c r="J8" s="28"/>
      <c r="K8" s="28"/>
      <c r="L8" s="28"/>
      <c r="M8" s="28"/>
      <c r="N8" s="33"/>
    </row>
    <row r="9" spans="1:14" ht="12.75">
      <c r="A9" s="21" t="s">
        <v>2</v>
      </c>
      <c r="B9" s="22"/>
      <c r="C9" s="4"/>
      <c r="D9" s="4"/>
      <c r="E9" s="3"/>
      <c r="F9" s="3"/>
      <c r="G9" s="319"/>
      <c r="H9" s="319"/>
      <c r="I9" s="3"/>
      <c r="J9" s="319"/>
      <c r="K9" s="319"/>
      <c r="L9" s="3"/>
      <c r="M9" s="319"/>
      <c r="N9" s="320"/>
    </row>
    <row r="10" spans="1:15" ht="12.75">
      <c r="A10" s="20"/>
      <c r="B10" s="22" t="s">
        <v>56</v>
      </c>
      <c r="C10" s="4"/>
      <c r="D10" s="4"/>
      <c r="E10" s="3"/>
      <c r="F10" s="29"/>
      <c r="G10" s="58"/>
      <c r="H10" s="58"/>
      <c r="I10" s="5"/>
      <c r="J10" s="58"/>
      <c r="K10" s="58"/>
      <c r="L10" s="5"/>
      <c r="M10" s="58"/>
      <c r="N10" s="59"/>
      <c r="O10" s="11"/>
    </row>
    <row r="11" spans="1:16" ht="11.25">
      <c r="A11" s="20"/>
      <c r="B11" s="22"/>
      <c r="C11" s="6"/>
      <c r="D11" s="6"/>
      <c r="E11" s="7"/>
      <c r="F11" s="30" t="s">
        <v>7</v>
      </c>
      <c r="G11" s="313">
        <v>38193</v>
      </c>
      <c r="H11" s="314"/>
      <c r="I11" s="5"/>
      <c r="J11" s="313">
        <v>39066</v>
      </c>
      <c r="K11" s="314"/>
      <c r="L11" s="5"/>
      <c r="M11" s="313">
        <v>38063</v>
      </c>
      <c r="N11" s="315"/>
      <c r="P11" s="10" t="s">
        <v>28</v>
      </c>
    </row>
    <row r="12" spans="1:16" ht="12.75">
      <c r="A12" s="20"/>
      <c r="B12" s="22"/>
      <c r="C12" s="4"/>
      <c r="D12" s="4"/>
      <c r="E12" s="3"/>
      <c r="F12" s="29" t="s">
        <v>5</v>
      </c>
      <c r="G12" s="316">
        <v>0.002</v>
      </c>
      <c r="H12" s="317"/>
      <c r="I12" s="5"/>
      <c r="J12" s="316">
        <v>0.033</v>
      </c>
      <c r="K12" s="317"/>
      <c r="L12" s="5"/>
      <c r="M12" s="316">
        <v>0.005</v>
      </c>
      <c r="N12" s="318"/>
      <c r="O12" s="11"/>
      <c r="P12" s="10" t="s">
        <v>29</v>
      </c>
    </row>
    <row r="13" spans="1:16" ht="12.75">
      <c r="A13" s="20"/>
      <c r="B13" s="22"/>
      <c r="C13" s="4"/>
      <c r="D13" s="4"/>
      <c r="E13" s="3"/>
      <c r="F13" s="29" t="s">
        <v>53</v>
      </c>
      <c r="G13" s="313">
        <v>3</v>
      </c>
      <c r="H13" s="314"/>
      <c r="I13" s="5"/>
      <c r="J13" s="313">
        <v>4</v>
      </c>
      <c r="K13" s="314"/>
      <c r="L13" s="5"/>
      <c r="M13" s="313">
        <v>4</v>
      </c>
      <c r="N13" s="315"/>
      <c r="O13" s="11"/>
      <c r="P13" s="10" t="s">
        <v>71</v>
      </c>
    </row>
    <row r="14" spans="1:16" ht="12.75">
      <c r="A14" s="20"/>
      <c r="B14" s="22"/>
      <c r="C14" s="4"/>
      <c r="D14" s="4"/>
      <c r="E14" s="3"/>
      <c r="F14" s="29" t="s">
        <v>54</v>
      </c>
      <c r="G14" s="313">
        <f>20+55+43</f>
        <v>118</v>
      </c>
      <c r="H14" s="314"/>
      <c r="I14" s="5"/>
      <c r="J14" s="313">
        <f>1+22+32+27</f>
        <v>82</v>
      </c>
      <c r="K14" s="314"/>
      <c r="L14" s="5"/>
      <c r="M14" s="313">
        <f>3+9+5+24</f>
        <v>41</v>
      </c>
      <c r="N14" s="315"/>
      <c r="O14" s="11"/>
      <c r="P14" s="10" t="s">
        <v>70</v>
      </c>
    </row>
    <row r="15" spans="1:16" ht="12.75">
      <c r="A15" s="20"/>
      <c r="B15" s="22"/>
      <c r="C15" s="4"/>
      <c r="D15" s="4"/>
      <c r="E15" s="3"/>
      <c r="F15" s="29" t="s">
        <v>55</v>
      </c>
      <c r="G15" s="313">
        <f>12+18</f>
        <v>30</v>
      </c>
      <c r="H15" s="314"/>
      <c r="I15" s="5"/>
      <c r="J15" s="313">
        <f>12+27</f>
        <v>39</v>
      </c>
      <c r="K15" s="314"/>
      <c r="L15" s="5"/>
      <c r="M15" s="313">
        <f>10+17</f>
        <v>27</v>
      </c>
      <c r="N15" s="315"/>
      <c r="O15" s="11"/>
      <c r="P15" s="10" t="s">
        <v>69</v>
      </c>
    </row>
    <row r="16" spans="1:16" ht="12.75">
      <c r="A16" s="20"/>
      <c r="B16" s="22"/>
      <c r="C16" s="4"/>
      <c r="D16" s="4"/>
      <c r="E16" s="3"/>
      <c r="F16" s="29" t="s">
        <v>78</v>
      </c>
      <c r="G16" s="313">
        <v>26</v>
      </c>
      <c r="H16" s="314"/>
      <c r="I16" s="5"/>
      <c r="J16" s="313">
        <v>16</v>
      </c>
      <c r="K16" s="314"/>
      <c r="L16" s="5"/>
      <c r="M16" s="313">
        <v>27</v>
      </c>
      <c r="N16" s="315"/>
      <c r="O16" s="11"/>
      <c r="P16" s="10" t="s">
        <v>86</v>
      </c>
    </row>
    <row r="17" spans="1:15" ht="12.75">
      <c r="A17" s="20"/>
      <c r="B17" s="22" t="s">
        <v>57</v>
      </c>
      <c r="C17" s="4"/>
      <c r="D17" s="4"/>
      <c r="E17" s="3"/>
      <c r="F17" s="29"/>
      <c r="G17" s="58"/>
      <c r="H17" s="58"/>
      <c r="I17" s="5"/>
      <c r="J17" s="58"/>
      <c r="K17" s="58"/>
      <c r="L17" s="5"/>
      <c r="M17" s="58"/>
      <c r="N17" s="59"/>
      <c r="O17" s="11"/>
    </row>
    <row r="18" spans="1:16" ht="11.25">
      <c r="A18" s="20"/>
      <c r="B18" s="22"/>
      <c r="C18" s="6"/>
      <c r="D18" s="6"/>
      <c r="E18" s="7"/>
      <c r="F18" s="30" t="s">
        <v>7</v>
      </c>
      <c r="G18" s="313"/>
      <c r="H18" s="314"/>
      <c r="I18" s="5"/>
      <c r="J18" s="313"/>
      <c r="K18" s="314"/>
      <c r="L18" s="5"/>
      <c r="M18" s="313"/>
      <c r="N18" s="315"/>
      <c r="P18" s="10" t="s">
        <v>28</v>
      </c>
    </row>
    <row r="19" spans="1:16" ht="12.75">
      <c r="A19" s="20"/>
      <c r="B19" s="22"/>
      <c r="C19" s="4"/>
      <c r="D19" s="4"/>
      <c r="E19" s="3"/>
      <c r="F19" s="29" t="s">
        <v>5</v>
      </c>
      <c r="G19" s="316"/>
      <c r="H19" s="317"/>
      <c r="I19" s="5"/>
      <c r="J19" s="316"/>
      <c r="K19" s="317"/>
      <c r="L19" s="5"/>
      <c r="M19" s="316"/>
      <c r="N19" s="318"/>
      <c r="O19" s="11"/>
      <c r="P19" s="10" t="s">
        <v>29</v>
      </c>
    </row>
    <row r="20" spans="1:16" ht="12.75">
      <c r="A20" s="20"/>
      <c r="B20" s="22"/>
      <c r="C20" s="4"/>
      <c r="D20" s="4"/>
      <c r="E20" s="3"/>
      <c r="F20" s="29" t="s">
        <v>58</v>
      </c>
      <c r="G20" s="313"/>
      <c r="H20" s="314"/>
      <c r="I20" s="5"/>
      <c r="J20" s="313"/>
      <c r="K20" s="314"/>
      <c r="L20" s="5"/>
      <c r="M20" s="313"/>
      <c r="N20" s="315"/>
      <c r="O20" s="11"/>
      <c r="P20" s="10" t="s">
        <v>71</v>
      </c>
    </row>
    <row r="21" spans="1:16" ht="12.75">
      <c r="A21" s="20"/>
      <c r="B21" s="22"/>
      <c r="C21" s="4"/>
      <c r="D21" s="4"/>
      <c r="E21" s="3"/>
      <c r="F21" s="29" t="s">
        <v>59</v>
      </c>
      <c r="G21" s="313"/>
      <c r="H21" s="314"/>
      <c r="I21" s="5"/>
      <c r="J21" s="313"/>
      <c r="K21" s="314"/>
      <c r="L21" s="5"/>
      <c r="M21" s="313"/>
      <c r="N21" s="315"/>
      <c r="O21" s="11"/>
      <c r="P21" s="10" t="s">
        <v>83</v>
      </c>
    </row>
    <row r="22" spans="1:16" ht="12.75">
      <c r="A22" s="20"/>
      <c r="B22" s="22"/>
      <c r="C22" s="4"/>
      <c r="D22" s="4"/>
      <c r="E22" s="3"/>
      <c r="F22" s="29" t="s">
        <v>78</v>
      </c>
      <c r="G22" s="313"/>
      <c r="H22" s="314"/>
      <c r="I22" s="5"/>
      <c r="J22" s="313"/>
      <c r="K22" s="314"/>
      <c r="L22" s="5"/>
      <c r="M22" s="313"/>
      <c r="N22" s="315"/>
      <c r="O22" s="11"/>
      <c r="P22" s="10" t="s">
        <v>86</v>
      </c>
    </row>
    <row r="23" spans="1:14" ht="11.25">
      <c r="A23" s="20"/>
      <c r="B23" s="4" t="s">
        <v>6</v>
      </c>
      <c r="C23" s="4"/>
      <c r="D23" s="4"/>
      <c r="E23" s="3"/>
      <c r="F23" s="3"/>
      <c r="G23" s="23"/>
      <c r="H23" s="23"/>
      <c r="I23" s="5"/>
      <c r="J23" s="23"/>
      <c r="K23" s="23"/>
      <c r="L23" s="5"/>
      <c r="M23" s="23"/>
      <c r="N23" s="24"/>
    </row>
    <row r="24" spans="1:16" ht="11.25">
      <c r="A24" s="20"/>
      <c r="B24" s="22"/>
      <c r="C24" s="4"/>
      <c r="D24" s="4"/>
      <c r="E24" s="3"/>
      <c r="F24" s="29" t="s">
        <v>20</v>
      </c>
      <c r="G24" s="293">
        <v>0.075</v>
      </c>
      <c r="H24" s="294"/>
      <c r="I24" s="3"/>
      <c r="J24" s="293">
        <v>0.053</v>
      </c>
      <c r="K24" s="294"/>
      <c r="L24" s="3"/>
      <c r="M24" s="293">
        <v>0.048</v>
      </c>
      <c r="N24" s="295"/>
      <c r="P24" s="10" t="s">
        <v>30</v>
      </c>
    </row>
    <row r="25" spans="1:16" ht="11.25">
      <c r="A25" s="20"/>
      <c r="B25" s="22"/>
      <c r="C25" s="4"/>
      <c r="D25" s="4"/>
      <c r="E25" s="3"/>
      <c r="F25" s="29" t="s">
        <v>21</v>
      </c>
      <c r="G25" s="293">
        <v>0.925</v>
      </c>
      <c r="H25" s="294"/>
      <c r="I25" s="3"/>
      <c r="J25" s="293">
        <v>0.947</v>
      </c>
      <c r="K25" s="294"/>
      <c r="L25" s="3"/>
      <c r="M25" s="293">
        <v>0.952</v>
      </c>
      <c r="N25" s="295"/>
      <c r="P25" s="10" t="s">
        <v>31</v>
      </c>
    </row>
    <row r="26" spans="1:14" ht="11.25">
      <c r="A26" s="62" t="s">
        <v>60</v>
      </c>
      <c r="B26" s="22"/>
      <c r="C26" s="4"/>
      <c r="D26" s="4"/>
      <c r="E26" s="3"/>
      <c r="F26" s="29"/>
      <c r="G26" s="60"/>
      <c r="H26" s="60"/>
      <c r="I26" s="5"/>
      <c r="J26" s="60"/>
      <c r="K26" s="60"/>
      <c r="L26" s="5"/>
      <c r="M26" s="60"/>
      <c r="N26" s="61"/>
    </row>
    <row r="27" spans="1:16" ht="11.25">
      <c r="A27" s="20"/>
      <c r="B27" s="22"/>
      <c r="C27" s="4"/>
      <c r="D27" s="4"/>
      <c r="E27" s="3"/>
      <c r="F27" s="29" t="s">
        <v>61</v>
      </c>
      <c r="G27" s="313">
        <f>2544939.13-G28</f>
        <v>2428250.25</v>
      </c>
      <c r="H27" s="314"/>
      <c r="I27" s="5"/>
      <c r="J27" s="313">
        <f>2088421.45-J28</f>
        <v>1992759.42</v>
      </c>
      <c r="K27" s="314"/>
      <c r="L27" s="5"/>
      <c r="M27" s="313">
        <f>1868328.74-M28</f>
        <v>1785224.28</v>
      </c>
      <c r="N27" s="315"/>
      <c r="P27" s="10" t="s">
        <v>91</v>
      </c>
    </row>
    <row r="28" spans="1:16" ht="11.25">
      <c r="A28" s="20"/>
      <c r="B28" s="22"/>
      <c r="C28" s="4"/>
      <c r="D28" s="4"/>
      <c r="E28" s="3"/>
      <c r="F28" s="29" t="s">
        <v>62</v>
      </c>
      <c r="G28" s="313">
        <f>49789.92+66898.96</f>
        <v>116688.88</v>
      </c>
      <c r="H28" s="314"/>
      <c r="I28" s="5"/>
      <c r="J28" s="313">
        <f>39275.91+56386.12</f>
        <v>95662.03</v>
      </c>
      <c r="K28" s="314"/>
      <c r="L28" s="5"/>
      <c r="M28" s="313">
        <f>47698.72+35405.74</f>
        <v>83104.45999999999</v>
      </c>
      <c r="N28" s="315"/>
      <c r="P28" s="10" t="s">
        <v>91</v>
      </c>
    </row>
    <row r="29" spans="1:16" ht="11.25">
      <c r="A29" s="20"/>
      <c r="B29" s="22"/>
      <c r="C29" s="4"/>
      <c r="D29" s="4"/>
      <c r="E29" s="3"/>
      <c r="F29" s="29" t="s">
        <v>63</v>
      </c>
      <c r="G29" s="310">
        <v>806758.4</v>
      </c>
      <c r="H29" s="311"/>
      <c r="I29" s="5"/>
      <c r="J29" s="310">
        <v>634762.16</v>
      </c>
      <c r="K29" s="311"/>
      <c r="L29" s="5"/>
      <c r="M29" s="310">
        <v>579110.75</v>
      </c>
      <c r="N29" s="312"/>
      <c r="P29" s="10" t="s">
        <v>90</v>
      </c>
    </row>
    <row r="30" spans="1:14" ht="11.25">
      <c r="A30" s="20"/>
      <c r="B30" s="22"/>
      <c r="C30" s="4"/>
      <c r="D30" s="4"/>
      <c r="E30" s="3"/>
      <c r="F30" s="29"/>
      <c r="G30" s="73"/>
      <c r="H30" s="74"/>
      <c r="I30" s="5"/>
      <c r="J30" s="73"/>
      <c r="K30" s="74"/>
      <c r="L30" s="5"/>
      <c r="M30" s="73"/>
      <c r="N30" s="75"/>
    </row>
    <row r="31" spans="1:18" ht="11.25">
      <c r="A31" s="20"/>
      <c r="B31" s="4"/>
      <c r="C31" s="4"/>
      <c r="D31" s="4"/>
      <c r="E31" s="3"/>
      <c r="F31" s="63" t="s">
        <v>64</v>
      </c>
      <c r="G31" s="299">
        <f>(SUM(G27:G29))/(G11+G18)</f>
        <v>87.75685413557457</v>
      </c>
      <c r="H31" s="300"/>
      <c r="I31" s="22"/>
      <c r="J31" s="299">
        <f>SUM(J27:K29)/(J11+J18)</f>
        <v>69.70725464598371</v>
      </c>
      <c r="K31" s="300"/>
      <c r="L31" s="22"/>
      <c r="M31" s="299">
        <f>SUM(M27:N29)/(M11+M18)</f>
        <v>64.29970023382288</v>
      </c>
      <c r="N31" s="301"/>
      <c r="O31"/>
      <c r="P31" t="s">
        <v>32</v>
      </c>
      <c r="Q31"/>
      <c r="R31"/>
    </row>
    <row r="32" spans="1:14" ht="11.25">
      <c r="A32" s="21" t="s">
        <v>3</v>
      </c>
      <c r="B32" s="22"/>
      <c r="C32" s="4"/>
      <c r="D32" s="4"/>
      <c r="E32" s="3"/>
      <c r="F32" s="3"/>
      <c r="G32" s="8"/>
      <c r="H32" s="8"/>
      <c r="I32" s="3"/>
      <c r="J32" s="8"/>
      <c r="K32" s="8"/>
      <c r="L32" s="3"/>
      <c r="M32" s="8"/>
      <c r="N32" s="25"/>
    </row>
    <row r="33" spans="1:22" ht="11.25">
      <c r="A33" s="20"/>
      <c r="B33" s="22"/>
      <c r="C33" s="4"/>
      <c r="D33" s="48"/>
      <c r="E33" s="49"/>
      <c r="F33" s="50" t="s">
        <v>43</v>
      </c>
      <c r="G33" s="302">
        <f>6.5+6.6</f>
        <v>13.1</v>
      </c>
      <c r="H33" s="303"/>
      <c r="I33" s="56"/>
      <c r="J33" s="302">
        <f>6.1+6</f>
        <v>12.1</v>
      </c>
      <c r="K33" s="303"/>
      <c r="L33" s="56"/>
      <c r="M33" s="302">
        <f>6.2+4.3</f>
        <v>10.5</v>
      </c>
      <c r="N33" s="304"/>
      <c r="O33"/>
      <c r="P33" s="46" t="s">
        <v>47</v>
      </c>
      <c r="Q33" s="47"/>
      <c r="R33" s="47"/>
      <c r="S33" s="46"/>
      <c r="T33" s="46"/>
      <c r="U33" s="46"/>
      <c r="V33" s="46"/>
    </row>
    <row r="34" spans="1:22" ht="11.25">
      <c r="A34" s="20"/>
      <c r="B34" s="22"/>
      <c r="C34" s="4"/>
      <c r="D34" s="48"/>
      <c r="E34" s="49"/>
      <c r="F34" s="50" t="s">
        <v>44</v>
      </c>
      <c r="G34" s="302">
        <f>14.8/36*45</f>
        <v>18.5</v>
      </c>
      <c r="H34" s="303"/>
      <c r="I34" s="56"/>
      <c r="J34" s="302">
        <f>14.9/36*45</f>
        <v>18.625</v>
      </c>
      <c r="K34" s="303"/>
      <c r="L34" s="56"/>
      <c r="M34" s="302">
        <f>15.1/36*45</f>
        <v>18.875</v>
      </c>
      <c r="N34" s="304"/>
      <c r="O34"/>
      <c r="P34" s="46" t="s">
        <v>48</v>
      </c>
      <c r="Q34" s="47"/>
      <c r="R34" s="47"/>
      <c r="S34" s="46"/>
      <c r="T34" s="46"/>
      <c r="U34" s="46"/>
      <c r="V34" s="46"/>
    </row>
    <row r="35" spans="1:22" ht="11.25">
      <c r="A35" s="20"/>
      <c r="B35" s="22"/>
      <c r="C35" s="4"/>
      <c r="D35" s="48"/>
      <c r="E35" s="49"/>
      <c r="F35" s="50" t="s">
        <v>45</v>
      </c>
      <c r="G35" s="307">
        <f>1.4/36*45</f>
        <v>1.75</v>
      </c>
      <c r="H35" s="308"/>
      <c r="I35" s="56"/>
      <c r="J35" s="307">
        <f>1/36*45</f>
        <v>1.25</v>
      </c>
      <c r="K35" s="308"/>
      <c r="L35" s="56"/>
      <c r="M35" s="307">
        <f>1.4/36*45</f>
        <v>1.75</v>
      </c>
      <c r="N35" s="309"/>
      <c r="O35"/>
      <c r="P35" s="46" t="s">
        <v>50</v>
      </c>
      <c r="Q35" s="47"/>
      <c r="R35" s="47"/>
      <c r="S35" s="46"/>
      <c r="T35" s="46"/>
      <c r="U35" s="46"/>
      <c r="V35" s="46"/>
    </row>
    <row r="36" spans="1:22" ht="11.25">
      <c r="A36" s="20"/>
      <c r="B36" s="22"/>
      <c r="C36" s="4"/>
      <c r="D36" s="48"/>
      <c r="E36" s="49"/>
      <c r="F36" s="50" t="s">
        <v>46</v>
      </c>
      <c r="G36" s="305">
        <v>0</v>
      </c>
      <c r="H36" s="305"/>
      <c r="I36" s="56"/>
      <c r="J36" s="305">
        <v>0</v>
      </c>
      <c r="K36" s="305"/>
      <c r="L36" s="56"/>
      <c r="M36" s="305">
        <v>0</v>
      </c>
      <c r="N36" s="306"/>
      <c r="O36"/>
      <c r="P36" s="46" t="s">
        <v>49</v>
      </c>
      <c r="Q36" s="47"/>
      <c r="R36" s="47"/>
      <c r="S36" s="46"/>
      <c r="T36" s="46"/>
      <c r="U36" s="46"/>
      <c r="V36" s="46"/>
    </row>
    <row r="37" spans="1:18" s="69" customFormat="1" ht="11.25">
      <c r="A37" s="64"/>
      <c r="B37" s="65"/>
      <c r="C37" s="66"/>
      <c r="D37" s="66"/>
      <c r="E37" s="5"/>
      <c r="F37" s="67"/>
      <c r="G37" s="70"/>
      <c r="H37" s="70"/>
      <c r="I37" s="68"/>
      <c r="J37" s="70"/>
      <c r="K37" s="70"/>
      <c r="L37" s="68"/>
      <c r="M37" s="70"/>
      <c r="N37" s="71"/>
      <c r="O37" s="12"/>
      <c r="Q37" s="12"/>
      <c r="R37" s="12"/>
    </row>
    <row r="38" spans="1:22" ht="11.25">
      <c r="A38" s="20"/>
      <c r="B38" s="22"/>
      <c r="C38" s="4"/>
      <c r="D38" s="48"/>
      <c r="E38" s="49"/>
      <c r="F38" s="50" t="s">
        <v>66</v>
      </c>
      <c r="G38" s="305">
        <f>6003+6395</f>
        <v>12398</v>
      </c>
      <c r="H38" s="305"/>
      <c r="I38" s="56"/>
      <c r="J38" s="305">
        <f>5602+6126</f>
        <v>11728</v>
      </c>
      <c r="K38" s="305"/>
      <c r="L38" s="56"/>
      <c r="M38" s="305">
        <f>5631+3572</f>
        <v>9203</v>
      </c>
      <c r="N38" s="306"/>
      <c r="O38"/>
      <c r="P38" s="46" t="s">
        <v>72</v>
      </c>
      <c r="Q38" s="47"/>
      <c r="R38" s="47"/>
      <c r="S38" s="46"/>
      <c r="T38" s="46"/>
      <c r="U38" s="46"/>
      <c r="V38" s="46"/>
    </row>
    <row r="39" spans="1:22" ht="11.25">
      <c r="A39" s="20"/>
      <c r="B39" s="22"/>
      <c r="C39" s="4"/>
      <c r="D39" s="48"/>
      <c r="E39" s="49"/>
      <c r="F39" s="50" t="s">
        <v>65</v>
      </c>
      <c r="G39" s="299">
        <v>23748</v>
      </c>
      <c r="H39" s="300"/>
      <c r="I39" s="56"/>
      <c r="J39" s="299">
        <v>25611</v>
      </c>
      <c r="K39" s="300"/>
      <c r="L39" s="56"/>
      <c r="M39" s="299">
        <v>26360</v>
      </c>
      <c r="N39" s="301"/>
      <c r="O39"/>
      <c r="P39" s="46" t="s">
        <v>73</v>
      </c>
      <c r="Q39" s="47"/>
      <c r="R39" s="47"/>
      <c r="S39" s="46"/>
      <c r="T39" s="46"/>
      <c r="U39" s="46"/>
      <c r="V39" s="46"/>
    </row>
    <row r="40" spans="1:22" ht="11.25">
      <c r="A40" s="20"/>
      <c r="B40" s="22"/>
      <c r="C40" s="4"/>
      <c r="D40" s="48"/>
      <c r="E40" s="49"/>
      <c r="F40" s="50" t="s">
        <v>67</v>
      </c>
      <c r="G40" s="302">
        <v>2445</v>
      </c>
      <c r="H40" s="303"/>
      <c r="I40" s="56"/>
      <c r="J40" s="302">
        <v>1830</v>
      </c>
      <c r="K40" s="303"/>
      <c r="L40" s="56"/>
      <c r="M40" s="302">
        <v>2670</v>
      </c>
      <c r="N40" s="304"/>
      <c r="O40"/>
      <c r="P40" s="46" t="s">
        <v>75</v>
      </c>
      <c r="Q40" s="47"/>
      <c r="R40" s="47"/>
      <c r="S40" s="46"/>
      <c r="T40" s="46"/>
      <c r="U40" s="46"/>
      <c r="V40" s="46"/>
    </row>
    <row r="41" spans="1:22" ht="11.25">
      <c r="A41" s="20"/>
      <c r="B41" s="22"/>
      <c r="C41" s="4"/>
      <c r="D41" s="48"/>
      <c r="E41" s="49"/>
      <c r="F41" s="50" t="s">
        <v>68</v>
      </c>
      <c r="G41" s="302">
        <v>0</v>
      </c>
      <c r="H41" s="303"/>
      <c r="I41" s="56"/>
      <c r="J41" s="302">
        <v>0</v>
      </c>
      <c r="K41" s="303"/>
      <c r="L41" s="56"/>
      <c r="M41" s="302">
        <v>0</v>
      </c>
      <c r="N41" s="304"/>
      <c r="O41"/>
      <c r="P41" s="46" t="s">
        <v>74</v>
      </c>
      <c r="Q41" s="47"/>
      <c r="R41" s="47"/>
      <c r="S41" s="46"/>
      <c r="T41" s="46"/>
      <c r="U41" s="46"/>
      <c r="V41" s="46"/>
    </row>
    <row r="42" spans="1:18" ht="11.25">
      <c r="A42" s="20"/>
      <c r="B42" s="4"/>
      <c r="C42" s="4"/>
      <c r="D42" s="4"/>
      <c r="E42" s="3"/>
      <c r="F42" s="3"/>
      <c r="G42" s="9"/>
      <c r="H42" s="9"/>
      <c r="I42" s="22"/>
      <c r="J42" s="9"/>
      <c r="K42" s="9"/>
      <c r="L42" s="22"/>
      <c r="M42" s="9"/>
      <c r="N42" s="26"/>
      <c r="O42"/>
      <c r="P42"/>
      <c r="Q42"/>
      <c r="R42"/>
    </row>
    <row r="43" spans="1:18" ht="11.25">
      <c r="A43" s="20"/>
      <c r="B43" s="22"/>
      <c r="C43" s="4"/>
      <c r="D43" s="4"/>
      <c r="E43" s="3"/>
      <c r="F43" s="29" t="s">
        <v>22</v>
      </c>
      <c r="G43" s="302">
        <f>+(G11+G18)/(G33+G34)</f>
        <v>1208.639240506329</v>
      </c>
      <c r="H43" s="303"/>
      <c r="I43" s="22"/>
      <c r="J43" s="302">
        <f>+(J11+J18)/(J33+J34)</f>
        <v>1271.472742066721</v>
      </c>
      <c r="K43" s="303"/>
      <c r="L43" s="22"/>
      <c r="M43" s="302">
        <f>+(M11+M18)/(M33+M34)</f>
        <v>1295.7617021276596</v>
      </c>
      <c r="N43" s="303"/>
      <c r="O43"/>
      <c r="P43" t="s">
        <v>32</v>
      </c>
      <c r="Q43"/>
      <c r="R43"/>
    </row>
    <row r="44" spans="1:18" ht="11.25">
      <c r="A44" s="20"/>
      <c r="B44" s="22"/>
      <c r="C44" s="4"/>
      <c r="D44" s="4"/>
      <c r="E44" s="3"/>
      <c r="F44" s="29" t="s">
        <v>216</v>
      </c>
      <c r="G44" s="332">
        <f>(G11+G18)/SUM(G33:H36)</f>
        <v>1145.2173913043478</v>
      </c>
      <c r="H44" s="332"/>
      <c r="I44" s="22"/>
      <c r="J44" s="332">
        <f>(J11+J18)/SUM(J33:K36)</f>
        <v>1221.7670054730258</v>
      </c>
      <c r="K44" s="332"/>
      <c r="L44" s="22"/>
      <c r="M44" s="332">
        <f>(M11+M18)/SUM(M33:N36)</f>
        <v>1222.9076305220883</v>
      </c>
      <c r="N44" s="332"/>
      <c r="O44"/>
      <c r="P44"/>
      <c r="Q44"/>
      <c r="R44"/>
    </row>
    <row r="45" spans="1:17" ht="11.25">
      <c r="A45" s="20"/>
      <c r="B45" s="4"/>
      <c r="C45" s="4"/>
      <c r="D45" s="4"/>
      <c r="E45" s="3"/>
      <c r="F45" s="3"/>
      <c r="G45" s="34" t="s">
        <v>24</v>
      </c>
      <c r="H45" s="34" t="s">
        <v>23</v>
      </c>
      <c r="I45" s="28"/>
      <c r="J45" s="34" t="s">
        <v>24</v>
      </c>
      <c r="K45" s="34" t="s">
        <v>23</v>
      </c>
      <c r="L45" s="28"/>
      <c r="M45" s="34" t="s">
        <v>24</v>
      </c>
      <c r="N45" s="35" t="s">
        <v>23</v>
      </c>
      <c r="O45" s="14"/>
      <c r="P45" s="13"/>
      <c r="Q45" s="31"/>
    </row>
    <row r="46" spans="1:22" ht="11.25">
      <c r="A46" s="20"/>
      <c r="B46" s="4"/>
      <c r="C46" s="4"/>
      <c r="D46" s="52"/>
      <c r="E46" s="53"/>
      <c r="F46" s="54" t="s">
        <v>25</v>
      </c>
      <c r="G46" s="76">
        <v>16</v>
      </c>
      <c r="H46" s="32">
        <f>G46/(G46+G47+G48+G49)</f>
        <v>0.463768115942029</v>
      </c>
      <c r="I46" s="28"/>
      <c r="J46" s="76">
        <v>16</v>
      </c>
      <c r="K46" s="32">
        <f>J46/(J46+J47+J48+J49)</f>
        <v>0.4507042253521127</v>
      </c>
      <c r="L46" s="28"/>
      <c r="M46" s="76">
        <v>16</v>
      </c>
      <c r="N46" s="36">
        <f>M46/(M46+M47+M48+M49)</f>
        <v>0.4507042253521127</v>
      </c>
      <c r="O46" s="14"/>
      <c r="P46" s="55" t="s">
        <v>84</v>
      </c>
      <c r="Q46" s="51"/>
      <c r="R46" s="55"/>
      <c r="S46" s="55"/>
      <c r="T46" s="55"/>
      <c r="U46" s="55"/>
      <c r="V46" s="55"/>
    </row>
    <row r="47" spans="1:22" ht="11.25">
      <c r="A47" s="20"/>
      <c r="B47" s="4"/>
      <c r="C47" s="4"/>
      <c r="D47" s="52"/>
      <c r="E47" s="53"/>
      <c r="F47" s="54" t="s">
        <v>13</v>
      </c>
      <c r="G47" s="76">
        <v>15</v>
      </c>
      <c r="H47" s="32">
        <f>G47/(G46+G47+G48+G49)</f>
        <v>0.43478260869565216</v>
      </c>
      <c r="I47" s="28"/>
      <c r="J47" s="76">
        <v>16</v>
      </c>
      <c r="K47" s="32">
        <f>J47/(J46+J47+J48+J49)</f>
        <v>0.4507042253521127</v>
      </c>
      <c r="L47" s="28"/>
      <c r="M47" s="76">
        <v>16</v>
      </c>
      <c r="N47" s="36">
        <f>M47/(M46+M47+M48+M49)</f>
        <v>0.4507042253521127</v>
      </c>
      <c r="O47" s="14"/>
      <c r="P47" s="55" t="s">
        <v>84</v>
      </c>
      <c r="Q47" s="51"/>
      <c r="R47" s="55"/>
      <c r="S47" s="55"/>
      <c r="T47" s="55"/>
      <c r="U47" s="55"/>
      <c r="V47" s="55"/>
    </row>
    <row r="48" spans="1:22" ht="11.25">
      <c r="A48" s="20"/>
      <c r="B48" s="4"/>
      <c r="C48" s="4"/>
      <c r="D48" s="52"/>
      <c r="E48" s="53"/>
      <c r="F48" s="54" t="s">
        <v>51</v>
      </c>
      <c r="G48" s="76">
        <v>3.5</v>
      </c>
      <c r="H48" s="32">
        <f>G48/(G46+G47+G48+G49)</f>
        <v>0.10144927536231885</v>
      </c>
      <c r="I48" s="28"/>
      <c r="J48" s="76">
        <v>3.5</v>
      </c>
      <c r="K48" s="32">
        <f>J48/(J46+J47+J48+J49)</f>
        <v>0.09859154929577464</v>
      </c>
      <c r="L48" s="28"/>
      <c r="M48" s="76">
        <v>3.5</v>
      </c>
      <c r="N48" s="36">
        <f>M48/(M46+M47+M48+M49)</f>
        <v>0.09859154929577464</v>
      </c>
      <c r="O48" s="14"/>
      <c r="P48" s="55" t="s">
        <v>85</v>
      </c>
      <c r="Q48" s="51"/>
      <c r="R48" s="55"/>
      <c r="S48" s="55"/>
      <c r="T48" s="55"/>
      <c r="U48" s="55"/>
      <c r="V48" s="55"/>
    </row>
    <row r="49" spans="1:22" ht="11.25">
      <c r="A49" s="20"/>
      <c r="B49" s="4"/>
      <c r="C49" s="4"/>
      <c r="D49" s="52"/>
      <c r="E49" s="53"/>
      <c r="F49" s="54" t="s">
        <v>52</v>
      </c>
      <c r="G49" s="76">
        <v>0</v>
      </c>
      <c r="H49" s="32">
        <f>G49/(G46+G47+G48+G49)</f>
        <v>0</v>
      </c>
      <c r="I49" s="28"/>
      <c r="J49" s="76">
        <v>0</v>
      </c>
      <c r="K49" s="32">
        <f>J49/(J46+J47+J48+J49)</f>
        <v>0</v>
      </c>
      <c r="L49" s="28"/>
      <c r="M49" s="76">
        <v>0</v>
      </c>
      <c r="N49" s="36">
        <f>M49/(M46+M47+M48+M49)</f>
        <v>0</v>
      </c>
      <c r="O49" s="14"/>
      <c r="P49" s="55" t="s">
        <v>85</v>
      </c>
      <c r="Q49" s="51"/>
      <c r="R49" s="55"/>
      <c r="S49" s="55"/>
      <c r="T49" s="55"/>
      <c r="U49" s="55"/>
      <c r="V49" s="55"/>
    </row>
    <row r="50" spans="1:14" ht="11.25">
      <c r="A50" s="21" t="s">
        <v>4</v>
      </c>
      <c r="B50" s="22"/>
      <c r="C50" s="4"/>
      <c r="D50" s="4"/>
      <c r="E50" s="3"/>
      <c r="F50" s="3"/>
      <c r="G50" s="8"/>
      <c r="H50" s="8"/>
      <c r="I50" s="3"/>
      <c r="J50" s="8"/>
      <c r="K50" s="8"/>
      <c r="L50" s="3"/>
      <c r="M50" s="8"/>
      <c r="N50" s="25"/>
    </row>
    <row r="51" spans="1:16" ht="11.25">
      <c r="A51" s="21"/>
      <c r="B51" s="22"/>
      <c r="C51" s="4"/>
      <c r="D51" s="4"/>
      <c r="E51" s="3"/>
      <c r="F51" s="63" t="s">
        <v>77</v>
      </c>
      <c r="G51" s="293">
        <v>0.581</v>
      </c>
      <c r="H51" s="294"/>
      <c r="I51" s="72"/>
      <c r="J51" s="293">
        <v>0.575</v>
      </c>
      <c r="K51" s="294"/>
      <c r="L51" s="72"/>
      <c r="M51" s="293">
        <v>0.577</v>
      </c>
      <c r="N51" s="295"/>
      <c r="P51" s="10" t="s">
        <v>87</v>
      </c>
    </row>
    <row r="52" spans="1:16" ht="11.25">
      <c r="A52" s="21"/>
      <c r="B52" s="22"/>
      <c r="C52" s="4"/>
      <c r="D52" s="4"/>
      <c r="E52" s="3"/>
      <c r="F52" s="63" t="s">
        <v>76</v>
      </c>
      <c r="G52" s="293">
        <v>0.193</v>
      </c>
      <c r="H52" s="294"/>
      <c r="I52" s="72"/>
      <c r="J52" s="293">
        <v>0.171</v>
      </c>
      <c r="K52" s="294"/>
      <c r="L52" s="72"/>
      <c r="M52" s="293">
        <v>0.175</v>
      </c>
      <c r="N52" s="295"/>
      <c r="P52" s="10" t="s">
        <v>79</v>
      </c>
    </row>
    <row r="53" spans="1:16" ht="11" customHeight="1">
      <c r="A53" s="20"/>
      <c r="B53" s="23"/>
      <c r="C53" s="4"/>
      <c r="D53" s="4"/>
      <c r="E53" s="3"/>
      <c r="F53" s="29" t="s">
        <v>10</v>
      </c>
      <c r="G53" s="296">
        <v>17</v>
      </c>
      <c r="H53" s="297"/>
      <c r="I53" s="3"/>
      <c r="J53" s="296">
        <v>11</v>
      </c>
      <c r="K53" s="297"/>
      <c r="L53" s="3"/>
      <c r="M53" s="296">
        <v>13</v>
      </c>
      <c r="N53" s="298"/>
      <c r="P53" s="10" t="s">
        <v>34</v>
      </c>
    </row>
    <row r="54" spans="1:16" ht="11.25">
      <c r="A54" s="20"/>
      <c r="B54" s="23"/>
      <c r="C54" s="4"/>
      <c r="D54" s="4"/>
      <c r="E54" s="3"/>
      <c r="F54" s="29" t="s">
        <v>8</v>
      </c>
      <c r="G54" s="296">
        <v>36</v>
      </c>
      <c r="H54" s="297"/>
      <c r="I54" s="14"/>
      <c r="J54" s="296">
        <v>37</v>
      </c>
      <c r="K54" s="297"/>
      <c r="L54" s="14"/>
      <c r="M54" s="296">
        <v>37</v>
      </c>
      <c r="N54" s="298"/>
      <c r="P54" s="10" t="s">
        <v>36</v>
      </c>
    </row>
    <row r="55" spans="1:16" ht="11.25">
      <c r="A55" s="20"/>
      <c r="B55" s="23"/>
      <c r="C55" s="4"/>
      <c r="D55" s="4"/>
      <c r="E55" s="3"/>
      <c r="F55" s="42" t="s">
        <v>11</v>
      </c>
      <c r="G55" s="296">
        <v>23.7</v>
      </c>
      <c r="H55" s="297"/>
      <c r="I55" s="3"/>
      <c r="J55" s="296">
        <v>26.4</v>
      </c>
      <c r="K55" s="297"/>
      <c r="L55" s="3"/>
      <c r="M55" s="296">
        <v>25.7</v>
      </c>
      <c r="N55" s="298"/>
      <c r="P55" s="10" t="s">
        <v>42</v>
      </c>
    </row>
    <row r="56" spans="1:19" ht="11.25">
      <c r="A56" s="20"/>
      <c r="B56" s="22"/>
      <c r="C56" s="4"/>
      <c r="D56" s="4"/>
      <c r="E56" s="3"/>
      <c r="F56" s="29" t="s">
        <v>9</v>
      </c>
      <c r="G56" s="293">
        <v>0.95</v>
      </c>
      <c r="H56" s="294"/>
      <c r="I56" s="3"/>
      <c r="J56" s="293">
        <v>0.97</v>
      </c>
      <c r="K56" s="294"/>
      <c r="L56" s="3"/>
      <c r="M56" s="293">
        <v>0.95</v>
      </c>
      <c r="N56" s="295"/>
      <c r="P56" s="10" t="s">
        <v>37</v>
      </c>
      <c r="Q56"/>
      <c r="R56"/>
      <c r="S56"/>
    </row>
    <row r="57" spans="1:19" ht="11.25">
      <c r="A57" s="20"/>
      <c r="B57" s="22"/>
      <c r="C57" s="4"/>
      <c r="D57" s="4"/>
      <c r="E57" s="27"/>
      <c r="F57" s="29" t="s">
        <v>12</v>
      </c>
      <c r="G57" s="296">
        <v>2</v>
      </c>
      <c r="H57" s="297"/>
      <c r="I57" s="28"/>
      <c r="J57" s="296">
        <v>3</v>
      </c>
      <c r="K57" s="297"/>
      <c r="L57" s="28"/>
      <c r="M57" s="296">
        <v>2</v>
      </c>
      <c r="N57" s="298"/>
      <c r="P57" s="10" t="s">
        <v>38</v>
      </c>
      <c r="Q57"/>
      <c r="R57"/>
      <c r="S57"/>
    </row>
    <row r="58" spans="1:19" ht="11.25">
      <c r="A58" s="20"/>
      <c r="B58" s="22"/>
      <c r="C58" s="4"/>
      <c r="D58" s="4"/>
      <c r="E58" s="3"/>
      <c r="F58" s="29" t="s">
        <v>19</v>
      </c>
      <c r="G58" s="293">
        <v>0.061</v>
      </c>
      <c r="H58" s="294"/>
      <c r="I58" s="28"/>
      <c r="J58" s="293">
        <v>0.041</v>
      </c>
      <c r="K58" s="294"/>
      <c r="L58" s="28"/>
      <c r="M58" s="293">
        <v>0.08</v>
      </c>
      <c r="N58" s="295"/>
      <c r="P58" s="10" t="s">
        <v>39</v>
      </c>
      <c r="Q58"/>
      <c r="R58"/>
      <c r="S58"/>
    </row>
    <row r="59" spans="1:19" ht="11.25">
      <c r="A59" s="20"/>
      <c r="B59" s="22"/>
      <c r="C59" s="4"/>
      <c r="D59" s="4"/>
      <c r="E59" s="3"/>
      <c r="F59" s="29" t="s">
        <v>0</v>
      </c>
      <c r="G59" s="293">
        <v>0.041</v>
      </c>
      <c r="H59" s="294"/>
      <c r="I59" s="28"/>
      <c r="J59" s="293">
        <v>-0.011</v>
      </c>
      <c r="K59" s="294"/>
      <c r="L59" s="28"/>
      <c r="M59" s="293">
        <v>0</v>
      </c>
      <c r="N59" s="295"/>
      <c r="P59" s="10" t="s">
        <v>40</v>
      </c>
      <c r="Q59"/>
      <c r="R59"/>
      <c r="S59"/>
    </row>
    <row r="60" spans="1:14" ht="11.25">
      <c r="A60" s="21" t="s">
        <v>1</v>
      </c>
      <c r="B60" s="28"/>
      <c r="C60" s="28"/>
      <c r="D60" s="28"/>
      <c r="E60" s="28"/>
      <c r="F60" s="28"/>
      <c r="G60" s="28"/>
      <c r="H60" s="28"/>
      <c r="I60" s="28"/>
      <c r="J60" s="28"/>
      <c r="K60" s="28"/>
      <c r="L60" s="28"/>
      <c r="M60" s="28"/>
      <c r="N60" s="33"/>
    </row>
    <row r="61" spans="1:16" ht="11.25">
      <c r="A61" s="37" t="s">
        <v>153</v>
      </c>
      <c r="B61" s="28"/>
      <c r="C61" s="28"/>
      <c r="D61" s="28"/>
      <c r="E61" s="28"/>
      <c r="F61" s="28"/>
      <c r="G61" s="28"/>
      <c r="H61" s="28"/>
      <c r="I61" s="28"/>
      <c r="J61" s="28"/>
      <c r="K61" s="28"/>
      <c r="L61" s="28"/>
      <c r="M61" s="28"/>
      <c r="N61" s="33"/>
      <c r="P61" t="s">
        <v>35</v>
      </c>
    </row>
    <row r="62" spans="1:14" ht="11.25">
      <c r="A62" s="38" t="s">
        <v>154</v>
      </c>
      <c r="B62" s="23"/>
      <c r="C62" s="23"/>
      <c r="D62" s="23"/>
      <c r="E62" s="23"/>
      <c r="F62" s="23"/>
      <c r="G62" s="23"/>
      <c r="H62" s="23"/>
      <c r="I62" s="23"/>
      <c r="J62" s="23"/>
      <c r="K62" s="23"/>
      <c r="L62" s="23"/>
      <c r="M62" s="23"/>
      <c r="N62" s="24"/>
    </row>
    <row r="63" spans="1:14" ht="11.25">
      <c r="A63" s="38"/>
      <c r="B63" s="23"/>
      <c r="C63" s="23"/>
      <c r="D63" s="23"/>
      <c r="E63" s="23"/>
      <c r="F63" s="23"/>
      <c r="G63" s="23"/>
      <c r="H63" s="23"/>
      <c r="I63" s="23"/>
      <c r="J63" s="23"/>
      <c r="K63" s="23"/>
      <c r="L63" s="23"/>
      <c r="M63" s="23"/>
      <c r="N63" s="24"/>
    </row>
    <row r="64" spans="1:16" ht="11.25">
      <c r="A64" s="38"/>
      <c r="B64" s="23"/>
      <c r="C64" s="23"/>
      <c r="D64" s="23"/>
      <c r="E64" s="23"/>
      <c r="F64" s="23"/>
      <c r="G64" s="23"/>
      <c r="H64" s="23"/>
      <c r="I64" s="23"/>
      <c r="J64" s="23"/>
      <c r="K64" s="23"/>
      <c r="L64" s="23"/>
      <c r="M64" s="23"/>
      <c r="N64" s="24"/>
      <c r="P64" s="44" t="s">
        <v>41</v>
      </c>
    </row>
    <row r="65" spans="1:14" ht="11.25">
      <c r="A65" s="38"/>
      <c r="B65" s="23"/>
      <c r="C65" s="23"/>
      <c r="D65" s="23"/>
      <c r="E65" s="23"/>
      <c r="F65" s="23"/>
      <c r="G65" s="23"/>
      <c r="H65" s="23"/>
      <c r="I65" s="23"/>
      <c r="J65" s="23"/>
      <c r="K65" s="23"/>
      <c r="L65" s="23"/>
      <c r="M65" s="23"/>
      <c r="N65" s="24"/>
    </row>
    <row r="66" spans="1:14" ht="12.75" thickBot="1">
      <c r="A66" s="39"/>
      <c r="B66" s="40"/>
      <c r="C66" s="40"/>
      <c r="D66" s="40"/>
      <c r="E66" s="40"/>
      <c r="F66" s="40"/>
      <c r="G66" s="40"/>
      <c r="H66" s="40"/>
      <c r="I66" s="40"/>
      <c r="J66" s="40"/>
      <c r="K66" s="40"/>
      <c r="L66" s="40"/>
      <c r="M66" s="40"/>
      <c r="N66" s="41"/>
    </row>
  </sheetData>
  <mergeCells count="122">
    <mergeCell ref="G5:H5"/>
    <mergeCell ref="G6:H6"/>
    <mergeCell ref="G7:H7"/>
    <mergeCell ref="G8:H8"/>
    <mergeCell ref="G9:H9"/>
    <mergeCell ref="J9:K9"/>
    <mergeCell ref="G2:N2"/>
    <mergeCell ref="G3:H3"/>
    <mergeCell ref="J3:K3"/>
    <mergeCell ref="M3:N3"/>
    <mergeCell ref="G4:H4"/>
    <mergeCell ref="J4:K4"/>
    <mergeCell ref="M4:N4"/>
    <mergeCell ref="G13:H13"/>
    <mergeCell ref="J13:K13"/>
    <mergeCell ref="M13:N13"/>
    <mergeCell ref="G14:H14"/>
    <mergeCell ref="J14:K14"/>
    <mergeCell ref="M14:N14"/>
    <mergeCell ref="M9:N9"/>
    <mergeCell ref="G11:H11"/>
    <mergeCell ref="J11:K11"/>
    <mergeCell ref="M11:N11"/>
    <mergeCell ref="G12:H12"/>
    <mergeCell ref="J12:K12"/>
    <mergeCell ref="M12:N12"/>
    <mergeCell ref="G18:H18"/>
    <mergeCell ref="J18:K18"/>
    <mergeCell ref="M18:N18"/>
    <mergeCell ref="G19:H19"/>
    <mergeCell ref="J19:K19"/>
    <mergeCell ref="M19:N19"/>
    <mergeCell ref="G15:H15"/>
    <mergeCell ref="J15:K15"/>
    <mergeCell ref="M15:N15"/>
    <mergeCell ref="G16:H16"/>
    <mergeCell ref="J16:K16"/>
    <mergeCell ref="M16:N16"/>
    <mergeCell ref="G22:H22"/>
    <mergeCell ref="J22:K22"/>
    <mergeCell ref="M22:N22"/>
    <mergeCell ref="G24:H24"/>
    <mergeCell ref="J24:K24"/>
    <mergeCell ref="M24:N24"/>
    <mergeCell ref="G20:H20"/>
    <mergeCell ref="J20:K20"/>
    <mergeCell ref="M20:N20"/>
    <mergeCell ref="G21:H21"/>
    <mergeCell ref="J21:K21"/>
    <mergeCell ref="M21:N21"/>
    <mergeCell ref="G28:H28"/>
    <mergeCell ref="J28:K28"/>
    <mergeCell ref="M28:N28"/>
    <mergeCell ref="G29:H29"/>
    <mergeCell ref="J29:K29"/>
    <mergeCell ref="M29:N29"/>
    <mergeCell ref="G25:H25"/>
    <mergeCell ref="J25:K25"/>
    <mergeCell ref="M25:N25"/>
    <mergeCell ref="G27:H27"/>
    <mergeCell ref="J27:K27"/>
    <mergeCell ref="M27:N27"/>
    <mergeCell ref="G34:H34"/>
    <mergeCell ref="J34:K34"/>
    <mergeCell ref="M34:N34"/>
    <mergeCell ref="G35:H35"/>
    <mergeCell ref="J35:K35"/>
    <mergeCell ref="M35:N35"/>
    <mergeCell ref="G31:H31"/>
    <mergeCell ref="J31:K31"/>
    <mergeCell ref="M31:N31"/>
    <mergeCell ref="G33:H33"/>
    <mergeCell ref="J33:K33"/>
    <mergeCell ref="M33:N33"/>
    <mergeCell ref="G39:H39"/>
    <mergeCell ref="J39:K39"/>
    <mergeCell ref="M39:N39"/>
    <mergeCell ref="G40:H40"/>
    <mergeCell ref="J40:K40"/>
    <mergeCell ref="M40:N40"/>
    <mergeCell ref="G36:H36"/>
    <mergeCell ref="J36:K36"/>
    <mergeCell ref="M36:N36"/>
    <mergeCell ref="G38:H38"/>
    <mergeCell ref="J38:K38"/>
    <mergeCell ref="M38:N38"/>
    <mergeCell ref="G51:H51"/>
    <mergeCell ref="J51:K51"/>
    <mergeCell ref="M51:N51"/>
    <mergeCell ref="G52:H52"/>
    <mergeCell ref="J52:K52"/>
    <mergeCell ref="M52:N52"/>
    <mergeCell ref="G41:H41"/>
    <mergeCell ref="J41:K41"/>
    <mergeCell ref="M41:N41"/>
    <mergeCell ref="G43:H43"/>
    <mergeCell ref="J43:K43"/>
    <mergeCell ref="M43:N43"/>
    <mergeCell ref="G59:H59"/>
    <mergeCell ref="J59:K59"/>
    <mergeCell ref="M59:N59"/>
    <mergeCell ref="G44:H44"/>
    <mergeCell ref="J44:K44"/>
    <mergeCell ref="M44:N44"/>
    <mergeCell ref="G57:H57"/>
    <mergeCell ref="J57:K57"/>
    <mergeCell ref="M57:N57"/>
    <mergeCell ref="G58:H58"/>
    <mergeCell ref="J58:K58"/>
    <mergeCell ref="M58:N58"/>
    <mergeCell ref="G55:H55"/>
    <mergeCell ref="J55:K55"/>
    <mergeCell ref="M55:N55"/>
    <mergeCell ref="G56:H56"/>
    <mergeCell ref="J56:K56"/>
    <mergeCell ref="M56:N56"/>
    <mergeCell ref="G53:H53"/>
    <mergeCell ref="J53:K53"/>
    <mergeCell ref="M53:N53"/>
    <mergeCell ref="G54:H54"/>
    <mergeCell ref="J54:K54"/>
    <mergeCell ref="M54:N54"/>
  </mergeCells>
  <printOptions/>
  <pageMargins left="0.25" right="0.25" top="0.75" bottom="0.75" header="0.3" footer="0.3"/>
  <pageSetup fitToHeight="1" fitToWidth="1" horizontalDpi="1200" verticalDpi="1200" orientation="portrait" scale="94" r:id="rId3"/>
  <colBreaks count="1" manualBreakCount="1">
    <brk id="14" max="16383" man="1"/>
  </colBreaks>
  <legacyDrawing r:id="rId2"/>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V66"/>
  <sheetViews>
    <sheetView showGridLines="0" workbookViewId="0" topLeftCell="A10">
      <selection activeCell="M43" sqref="M43:N43"/>
    </sheetView>
  </sheetViews>
  <sheetFormatPr defaultColWidth="9.00390625" defaultRowHeight="11.25"/>
  <cols>
    <col min="1" max="1" width="4.625" style="1" customWidth="1"/>
    <col min="2" max="5" width="9.00390625" style="1" customWidth="1"/>
    <col min="6" max="6" width="7.125" style="1" customWidth="1"/>
    <col min="7" max="8" width="9.125" style="1" customWidth="1"/>
    <col min="9" max="9" width="1.75390625" style="1" customWidth="1"/>
    <col min="10" max="11" width="9.125" style="1" customWidth="1"/>
    <col min="12" max="12" width="1.75390625" style="1" customWidth="1"/>
    <col min="13" max="14" width="9.125" style="1" customWidth="1"/>
    <col min="15" max="15" width="3.75390625" style="10" customWidth="1"/>
    <col min="16" max="16384" width="9.00390625" style="10" customWidth="1"/>
  </cols>
  <sheetData>
    <row r="1" spans="1:14" s="12" customFormat="1" ht="11.25">
      <c r="A1" s="17" t="s">
        <v>88</v>
      </c>
      <c r="B1" s="18"/>
      <c r="C1" s="18"/>
      <c r="D1" s="18"/>
      <c r="E1" s="18"/>
      <c r="F1" s="18"/>
      <c r="G1" s="18"/>
      <c r="H1" s="18"/>
      <c r="I1" s="18"/>
      <c r="J1" s="18"/>
      <c r="K1" s="18"/>
      <c r="L1" s="18"/>
      <c r="M1" s="18"/>
      <c r="N1" s="19"/>
    </row>
    <row r="2" spans="1:16" s="12" customFormat="1" ht="11.25">
      <c r="A2" s="20" t="s">
        <v>89</v>
      </c>
      <c r="B2" s="15"/>
      <c r="C2" s="15"/>
      <c r="D2" s="15"/>
      <c r="E2" s="15"/>
      <c r="F2" s="15"/>
      <c r="G2" s="328" t="s">
        <v>26</v>
      </c>
      <c r="H2" s="328"/>
      <c r="I2" s="328"/>
      <c r="J2" s="328"/>
      <c r="K2" s="328"/>
      <c r="L2" s="328"/>
      <c r="M2" s="328"/>
      <c r="N2" s="329"/>
      <c r="P2" s="43" t="s">
        <v>27</v>
      </c>
    </row>
    <row r="3" spans="1:14" ht="11.25">
      <c r="A3" s="45"/>
      <c r="B3" s="2"/>
      <c r="C3" s="2"/>
      <c r="D3" s="2"/>
      <c r="E3" s="2"/>
      <c r="F3" s="16" t="s">
        <v>14</v>
      </c>
      <c r="G3" s="330">
        <v>19</v>
      </c>
      <c r="H3" s="327"/>
      <c r="I3" s="2"/>
      <c r="J3" s="330">
        <v>18</v>
      </c>
      <c r="K3" s="327"/>
      <c r="L3" s="2"/>
      <c r="M3" s="330">
        <v>17</v>
      </c>
      <c r="N3" s="331"/>
    </row>
    <row r="4" spans="1:14" ht="11.25">
      <c r="A4" s="20"/>
      <c r="B4" s="2"/>
      <c r="C4" s="2"/>
      <c r="D4" s="2"/>
      <c r="E4" s="2"/>
      <c r="F4" s="16" t="s">
        <v>15</v>
      </c>
      <c r="G4" s="330" t="s">
        <v>80</v>
      </c>
      <c r="H4" s="327"/>
      <c r="I4" s="2"/>
      <c r="J4" s="330" t="s">
        <v>81</v>
      </c>
      <c r="K4" s="327"/>
      <c r="L4" s="2"/>
      <c r="M4" s="330" t="s">
        <v>82</v>
      </c>
      <c r="N4" s="331"/>
    </row>
    <row r="5" spans="1:14" ht="11.25">
      <c r="A5" s="20"/>
      <c r="B5" s="2"/>
      <c r="C5" s="2"/>
      <c r="D5" s="2"/>
      <c r="E5" s="2"/>
      <c r="F5" s="16" t="s">
        <v>16</v>
      </c>
      <c r="G5" s="321" t="s">
        <v>92</v>
      </c>
      <c r="H5" s="322"/>
      <c r="I5" s="2"/>
      <c r="J5" s="28"/>
      <c r="K5" s="28"/>
      <c r="L5" s="28"/>
      <c r="M5" s="28"/>
      <c r="N5" s="33"/>
    </row>
    <row r="6" spans="1:14" ht="11.25">
      <c r="A6" s="20"/>
      <c r="B6" s="2"/>
      <c r="C6" s="2"/>
      <c r="D6" s="2"/>
      <c r="E6" s="2"/>
      <c r="F6" s="16" t="s">
        <v>17</v>
      </c>
      <c r="G6" s="323" t="s">
        <v>155</v>
      </c>
      <c r="H6" s="323"/>
      <c r="I6" s="2"/>
      <c r="J6" s="28"/>
      <c r="K6" s="28"/>
      <c r="L6" s="28"/>
      <c r="M6" s="28"/>
      <c r="N6" s="33"/>
    </row>
    <row r="7" spans="1:14" ht="11.25">
      <c r="A7" s="20"/>
      <c r="B7" s="2"/>
      <c r="C7" s="2"/>
      <c r="D7" s="2"/>
      <c r="E7" s="2"/>
      <c r="F7" s="16" t="s">
        <v>33</v>
      </c>
      <c r="G7" s="324" t="s">
        <v>149</v>
      </c>
      <c r="H7" s="325"/>
      <c r="I7" s="2"/>
      <c r="J7" s="28"/>
      <c r="K7" s="28"/>
      <c r="L7" s="28"/>
      <c r="M7" s="28"/>
      <c r="N7" s="33"/>
    </row>
    <row r="8" spans="1:14" ht="11.25">
      <c r="A8" s="20"/>
      <c r="B8" s="2"/>
      <c r="C8" s="2"/>
      <c r="D8" s="2"/>
      <c r="E8" s="2"/>
      <c r="F8" s="16" t="s">
        <v>18</v>
      </c>
      <c r="G8" s="326">
        <v>43935</v>
      </c>
      <c r="H8" s="327"/>
      <c r="I8" s="2"/>
      <c r="J8" s="28"/>
      <c r="K8" s="28"/>
      <c r="L8" s="28"/>
      <c r="M8" s="28"/>
      <c r="N8" s="33"/>
    </row>
    <row r="9" spans="1:14" ht="12.75">
      <c r="A9" s="21" t="s">
        <v>2</v>
      </c>
      <c r="B9" s="22"/>
      <c r="C9" s="4"/>
      <c r="D9" s="4"/>
      <c r="E9" s="3"/>
      <c r="F9" s="3"/>
      <c r="G9" s="319"/>
      <c r="H9" s="319"/>
      <c r="I9" s="3"/>
      <c r="J9" s="319"/>
      <c r="K9" s="319"/>
      <c r="L9" s="3"/>
      <c r="M9" s="319"/>
      <c r="N9" s="320"/>
    </row>
    <row r="10" spans="1:15" ht="12.75">
      <c r="A10" s="20"/>
      <c r="B10" s="22" t="s">
        <v>56</v>
      </c>
      <c r="C10" s="4"/>
      <c r="D10" s="4"/>
      <c r="E10" s="3"/>
      <c r="F10" s="29"/>
      <c r="G10" s="58"/>
      <c r="H10" s="58"/>
      <c r="I10" s="5"/>
      <c r="J10" s="58"/>
      <c r="K10" s="58"/>
      <c r="L10" s="5"/>
      <c r="M10" s="58"/>
      <c r="N10" s="59"/>
      <c r="O10" s="11"/>
    </row>
    <row r="11" spans="1:16" ht="11.25">
      <c r="A11" s="20"/>
      <c r="B11" s="22"/>
      <c r="C11" s="6"/>
      <c r="D11" s="6"/>
      <c r="E11" s="7"/>
      <c r="F11" s="30" t="s">
        <v>7</v>
      </c>
      <c r="G11" s="313">
        <v>9712</v>
      </c>
      <c r="H11" s="314"/>
      <c r="I11" s="5"/>
      <c r="J11" s="313">
        <v>9800</v>
      </c>
      <c r="K11" s="314"/>
      <c r="L11" s="5"/>
      <c r="M11" s="313">
        <v>9833</v>
      </c>
      <c r="N11" s="315"/>
      <c r="P11" s="10" t="s">
        <v>28</v>
      </c>
    </row>
    <row r="12" spans="1:16" ht="12.75">
      <c r="A12" s="20"/>
      <c r="B12" s="22"/>
      <c r="C12" s="4"/>
      <c r="D12" s="4"/>
      <c r="E12" s="3"/>
      <c r="F12" s="29" t="s">
        <v>5</v>
      </c>
      <c r="G12" s="316">
        <v>-0.009</v>
      </c>
      <c r="H12" s="317"/>
      <c r="I12" s="5"/>
      <c r="J12" s="316">
        <v>-0.003</v>
      </c>
      <c r="K12" s="317"/>
      <c r="L12" s="5"/>
      <c r="M12" s="316">
        <v>-0.021</v>
      </c>
      <c r="N12" s="318"/>
      <c r="O12" s="11"/>
      <c r="P12" s="10" t="s">
        <v>29</v>
      </c>
    </row>
    <row r="13" spans="1:16" ht="12.75">
      <c r="A13" s="20"/>
      <c r="B13" s="22"/>
      <c r="C13" s="4"/>
      <c r="D13" s="4"/>
      <c r="E13" s="3"/>
      <c r="F13" s="29" t="s">
        <v>53</v>
      </c>
      <c r="G13" s="313">
        <v>6</v>
      </c>
      <c r="H13" s="314"/>
      <c r="I13" s="5"/>
      <c r="J13" s="313">
        <v>5</v>
      </c>
      <c r="K13" s="314"/>
      <c r="L13" s="5"/>
      <c r="M13" s="313">
        <v>5</v>
      </c>
      <c r="N13" s="315"/>
      <c r="O13" s="11"/>
      <c r="P13" s="10" t="s">
        <v>71</v>
      </c>
    </row>
    <row r="14" spans="1:16" ht="12.75">
      <c r="A14" s="20"/>
      <c r="B14" s="22"/>
      <c r="C14" s="4"/>
      <c r="D14" s="4"/>
      <c r="E14" s="3"/>
      <c r="F14" s="29" t="s">
        <v>54</v>
      </c>
      <c r="G14" s="313">
        <v>359</v>
      </c>
      <c r="H14" s="314"/>
      <c r="I14" s="5"/>
      <c r="J14" s="313">
        <v>363</v>
      </c>
      <c r="K14" s="314"/>
      <c r="L14" s="5"/>
      <c r="M14" s="313">
        <v>352</v>
      </c>
      <c r="N14" s="315"/>
      <c r="O14" s="11"/>
      <c r="P14" s="10" t="s">
        <v>70</v>
      </c>
    </row>
    <row r="15" spans="1:16" ht="12.75">
      <c r="A15" s="20"/>
      <c r="B15" s="22"/>
      <c r="C15" s="4"/>
      <c r="D15" s="4"/>
      <c r="E15" s="3"/>
      <c r="F15" s="29" t="s">
        <v>55</v>
      </c>
      <c r="G15" s="313">
        <v>47</v>
      </c>
      <c r="H15" s="314"/>
      <c r="I15" s="5"/>
      <c r="J15" s="313">
        <v>44</v>
      </c>
      <c r="K15" s="314"/>
      <c r="L15" s="5"/>
      <c r="M15" s="313">
        <v>24</v>
      </c>
      <c r="N15" s="315"/>
      <c r="O15" s="11"/>
      <c r="P15" s="10" t="s">
        <v>69</v>
      </c>
    </row>
    <row r="16" spans="1:16" ht="12.75">
      <c r="A16" s="20"/>
      <c r="B16" s="22"/>
      <c r="C16" s="4"/>
      <c r="D16" s="4"/>
      <c r="E16" s="3"/>
      <c r="F16" s="29" t="s">
        <v>78</v>
      </c>
      <c r="G16" s="313">
        <v>191</v>
      </c>
      <c r="H16" s="314"/>
      <c r="I16" s="5"/>
      <c r="J16" s="313">
        <v>185</v>
      </c>
      <c r="K16" s="314"/>
      <c r="L16" s="5"/>
      <c r="M16" s="313">
        <v>178</v>
      </c>
      <c r="N16" s="315"/>
      <c r="O16" s="11"/>
      <c r="P16" s="10" t="s">
        <v>86</v>
      </c>
    </row>
    <row r="17" spans="1:15" ht="12.75">
      <c r="A17" s="20"/>
      <c r="B17" s="22" t="s">
        <v>57</v>
      </c>
      <c r="C17" s="4"/>
      <c r="D17" s="4"/>
      <c r="E17" s="3"/>
      <c r="F17" s="29"/>
      <c r="G17" s="58"/>
      <c r="H17" s="58"/>
      <c r="I17" s="5"/>
      <c r="J17" s="58"/>
      <c r="K17" s="58"/>
      <c r="L17" s="5"/>
      <c r="M17" s="58"/>
      <c r="N17" s="59"/>
      <c r="O17" s="11"/>
    </row>
    <row r="18" spans="1:16" ht="11.25">
      <c r="A18" s="20"/>
      <c r="B18" s="22"/>
      <c r="C18" s="6"/>
      <c r="D18" s="6"/>
      <c r="E18" s="7"/>
      <c r="F18" s="30" t="s">
        <v>7</v>
      </c>
      <c r="G18" s="313"/>
      <c r="H18" s="314"/>
      <c r="I18" s="5"/>
      <c r="J18" s="313"/>
      <c r="K18" s="314"/>
      <c r="L18" s="5"/>
      <c r="M18" s="313"/>
      <c r="N18" s="315"/>
      <c r="P18" s="10" t="s">
        <v>28</v>
      </c>
    </row>
    <row r="19" spans="1:16" ht="12.75">
      <c r="A19" s="20"/>
      <c r="B19" s="22"/>
      <c r="C19" s="4"/>
      <c r="D19" s="4"/>
      <c r="E19" s="3"/>
      <c r="F19" s="29" t="s">
        <v>5</v>
      </c>
      <c r="G19" s="316"/>
      <c r="H19" s="317"/>
      <c r="I19" s="5"/>
      <c r="J19" s="316"/>
      <c r="K19" s="317"/>
      <c r="L19" s="5"/>
      <c r="M19" s="316"/>
      <c r="N19" s="318"/>
      <c r="O19" s="11"/>
      <c r="P19" s="10" t="s">
        <v>29</v>
      </c>
    </row>
    <row r="20" spans="1:16" ht="12.75">
      <c r="A20" s="20"/>
      <c r="B20" s="22"/>
      <c r="C20" s="4"/>
      <c r="D20" s="4"/>
      <c r="E20" s="3"/>
      <c r="F20" s="29" t="s">
        <v>58</v>
      </c>
      <c r="G20" s="313"/>
      <c r="H20" s="314"/>
      <c r="I20" s="5"/>
      <c r="J20" s="313"/>
      <c r="K20" s="314"/>
      <c r="L20" s="5"/>
      <c r="M20" s="313"/>
      <c r="N20" s="315"/>
      <c r="O20" s="11"/>
      <c r="P20" s="10" t="s">
        <v>71</v>
      </c>
    </row>
    <row r="21" spans="1:16" ht="12.75">
      <c r="A21" s="20"/>
      <c r="B21" s="22"/>
      <c r="C21" s="4"/>
      <c r="D21" s="4"/>
      <c r="E21" s="3"/>
      <c r="F21" s="29" t="s">
        <v>59</v>
      </c>
      <c r="G21" s="313"/>
      <c r="H21" s="314"/>
      <c r="I21" s="5"/>
      <c r="J21" s="313"/>
      <c r="K21" s="314"/>
      <c r="L21" s="5"/>
      <c r="M21" s="313"/>
      <c r="N21" s="315"/>
      <c r="O21" s="11"/>
      <c r="P21" s="10" t="s">
        <v>83</v>
      </c>
    </row>
    <row r="22" spans="1:16" ht="12.75">
      <c r="A22" s="20"/>
      <c r="B22" s="22"/>
      <c r="C22" s="4"/>
      <c r="D22" s="4"/>
      <c r="E22" s="3"/>
      <c r="F22" s="29" t="s">
        <v>78</v>
      </c>
      <c r="G22" s="313"/>
      <c r="H22" s="314"/>
      <c r="I22" s="5"/>
      <c r="J22" s="313"/>
      <c r="K22" s="314"/>
      <c r="L22" s="5"/>
      <c r="M22" s="313"/>
      <c r="N22" s="315"/>
      <c r="O22" s="11"/>
      <c r="P22" s="10" t="s">
        <v>86</v>
      </c>
    </row>
    <row r="23" spans="1:14" ht="11.25">
      <c r="A23" s="20"/>
      <c r="B23" s="4" t="s">
        <v>6</v>
      </c>
      <c r="C23" s="4"/>
      <c r="D23" s="4"/>
      <c r="E23" s="3"/>
      <c r="F23" s="3"/>
      <c r="G23" s="23"/>
      <c r="H23" s="23"/>
      <c r="I23" s="5"/>
      <c r="J23" s="23"/>
      <c r="K23" s="23"/>
      <c r="L23" s="5"/>
      <c r="M23" s="23"/>
      <c r="N23" s="24"/>
    </row>
    <row r="24" spans="1:16" ht="11.25">
      <c r="A24" s="20"/>
      <c r="B24" s="22"/>
      <c r="C24" s="4"/>
      <c r="D24" s="4"/>
      <c r="E24" s="3"/>
      <c r="F24" s="29" t="s">
        <v>20</v>
      </c>
      <c r="G24" s="293">
        <v>0.691</v>
      </c>
      <c r="H24" s="294"/>
      <c r="I24" s="3"/>
      <c r="J24" s="293">
        <v>0.682</v>
      </c>
      <c r="K24" s="294"/>
      <c r="L24" s="3"/>
      <c r="M24" s="293">
        <v>0.651</v>
      </c>
      <c r="N24" s="295"/>
      <c r="P24" s="10" t="s">
        <v>30</v>
      </c>
    </row>
    <row r="25" spans="1:16" ht="11.25">
      <c r="A25" s="20"/>
      <c r="B25" s="22"/>
      <c r="C25" s="4"/>
      <c r="D25" s="4"/>
      <c r="E25" s="3"/>
      <c r="F25" s="29" t="s">
        <v>21</v>
      </c>
      <c r="G25" s="293">
        <v>0.309</v>
      </c>
      <c r="H25" s="294"/>
      <c r="I25" s="3"/>
      <c r="J25" s="293">
        <v>0.318</v>
      </c>
      <c r="K25" s="294"/>
      <c r="L25" s="3"/>
      <c r="M25" s="293">
        <v>0.349</v>
      </c>
      <c r="N25" s="295"/>
      <c r="P25" s="10" t="s">
        <v>31</v>
      </c>
    </row>
    <row r="26" spans="1:14" ht="11.25">
      <c r="A26" s="62" t="s">
        <v>60</v>
      </c>
      <c r="B26" s="22"/>
      <c r="C26" s="4"/>
      <c r="D26" s="4"/>
      <c r="E26" s="3"/>
      <c r="F26" s="29"/>
      <c r="G26" s="60"/>
      <c r="H26" s="60"/>
      <c r="I26" s="5"/>
      <c r="J26" s="60"/>
      <c r="K26" s="60"/>
      <c r="L26" s="5"/>
      <c r="M26" s="60"/>
      <c r="N26" s="61"/>
    </row>
    <row r="27" spans="1:16" ht="11.25">
      <c r="A27" s="20"/>
      <c r="B27" s="22"/>
      <c r="C27" s="4"/>
      <c r="D27" s="4"/>
      <c r="E27" s="3"/>
      <c r="F27" s="29" t="s">
        <v>61</v>
      </c>
      <c r="G27" s="313">
        <v>1155287.98</v>
      </c>
      <c r="H27" s="314"/>
      <c r="I27" s="5"/>
      <c r="J27" s="313">
        <v>1013014.34</v>
      </c>
      <c r="K27" s="314"/>
      <c r="L27" s="5"/>
      <c r="M27" s="313">
        <v>984585.7</v>
      </c>
      <c r="N27" s="315"/>
      <c r="P27" s="10" t="s">
        <v>91</v>
      </c>
    </row>
    <row r="28" spans="1:16" ht="11.25">
      <c r="A28" s="20"/>
      <c r="B28" s="22"/>
      <c r="C28" s="4"/>
      <c r="D28" s="4"/>
      <c r="E28" s="3"/>
      <c r="F28" s="29" t="s">
        <v>62</v>
      </c>
      <c r="G28" s="313">
        <v>18876.53</v>
      </c>
      <c r="H28" s="314"/>
      <c r="I28" s="5"/>
      <c r="J28" s="313">
        <v>10491.3</v>
      </c>
      <c r="K28" s="314"/>
      <c r="L28" s="5"/>
      <c r="M28" s="313">
        <v>7738.139999999999</v>
      </c>
      <c r="N28" s="315"/>
      <c r="P28" s="10" t="s">
        <v>91</v>
      </c>
    </row>
    <row r="29" spans="1:16" ht="11.25">
      <c r="A29" s="20"/>
      <c r="B29" s="22"/>
      <c r="C29" s="4"/>
      <c r="D29" s="4"/>
      <c r="E29" s="3"/>
      <c r="F29" s="29" t="s">
        <v>63</v>
      </c>
      <c r="G29" s="310">
        <v>324257.05</v>
      </c>
      <c r="H29" s="311"/>
      <c r="I29" s="5"/>
      <c r="J29" s="310">
        <v>285110.71</v>
      </c>
      <c r="K29" s="311"/>
      <c r="L29" s="5"/>
      <c r="M29" s="310">
        <v>296788.91</v>
      </c>
      <c r="N29" s="312"/>
      <c r="P29" s="10" t="s">
        <v>90</v>
      </c>
    </row>
    <row r="30" spans="1:14" ht="11.25">
      <c r="A30" s="20"/>
      <c r="B30" s="22"/>
      <c r="C30" s="4"/>
      <c r="D30" s="4"/>
      <c r="E30" s="3"/>
      <c r="F30" s="29"/>
      <c r="G30" s="73"/>
      <c r="H30" s="74"/>
      <c r="I30" s="5"/>
      <c r="J30" s="73"/>
      <c r="K30" s="74"/>
      <c r="L30" s="5"/>
      <c r="M30" s="73"/>
      <c r="N30" s="75"/>
    </row>
    <row r="31" spans="1:18" ht="11.25">
      <c r="A31" s="20"/>
      <c r="B31" s="4"/>
      <c r="C31" s="4"/>
      <c r="D31" s="4"/>
      <c r="E31" s="3"/>
      <c r="F31" s="63" t="s">
        <v>64</v>
      </c>
      <c r="G31" s="299">
        <f>SUM(G27:H29)/(G11+G18)</f>
        <v>154.28558072487644</v>
      </c>
      <c r="H31" s="300"/>
      <c r="I31" s="22"/>
      <c r="J31" s="299">
        <f>SUM(J27:K29)/(J11+J18)</f>
        <v>133.5322806122449</v>
      </c>
      <c r="K31" s="300"/>
      <c r="L31" s="22"/>
      <c r="M31" s="299">
        <f>SUM(M27:N29)/(M11+M18)</f>
        <v>131.10065595443913</v>
      </c>
      <c r="N31" s="301"/>
      <c r="O31"/>
      <c r="P31" t="s">
        <v>32</v>
      </c>
      <c r="Q31"/>
      <c r="R31"/>
    </row>
    <row r="32" spans="1:14" ht="11.25">
      <c r="A32" s="21" t="s">
        <v>3</v>
      </c>
      <c r="B32" s="22"/>
      <c r="C32" s="4"/>
      <c r="D32" s="4"/>
      <c r="E32" s="3"/>
      <c r="F32" s="3"/>
      <c r="G32" s="8"/>
      <c r="H32" s="8"/>
      <c r="I32" s="3"/>
      <c r="J32" s="8"/>
      <c r="K32" s="8"/>
      <c r="L32" s="3"/>
      <c r="M32" s="8"/>
      <c r="N32" s="25"/>
    </row>
    <row r="33" spans="1:22" ht="11.25">
      <c r="A33" s="20"/>
      <c r="B33" s="22"/>
      <c r="C33" s="4"/>
      <c r="D33" s="48"/>
      <c r="E33" s="49"/>
      <c r="F33" s="50" t="s">
        <v>43</v>
      </c>
      <c r="G33" s="302">
        <v>5.9</v>
      </c>
      <c r="H33" s="303"/>
      <c r="I33" s="56"/>
      <c r="J33" s="302">
        <v>6.6</v>
      </c>
      <c r="K33" s="303"/>
      <c r="L33" s="56"/>
      <c r="M33" s="302">
        <v>4.8</v>
      </c>
      <c r="N33" s="304"/>
      <c r="O33"/>
      <c r="P33" s="46" t="s">
        <v>47</v>
      </c>
      <c r="Q33" s="47"/>
      <c r="R33" s="47"/>
      <c r="S33" s="46"/>
      <c r="T33" s="46"/>
      <c r="U33" s="46"/>
      <c r="V33" s="46"/>
    </row>
    <row r="34" spans="1:22" ht="11.25">
      <c r="A34" s="20"/>
      <c r="B34" s="22"/>
      <c r="C34" s="4"/>
      <c r="D34" s="48"/>
      <c r="E34" s="49"/>
      <c r="F34" s="50" t="s">
        <v>44</v>
      </c>
      <c r="G34" s="302">
        <v>2</v>
      </c>
      <c r="H34" s="303"/>
      <c r="I34" s="56"/>
      <c r="J34" s="302">
        <v>2</v>
      </c>
      <c r="K34" s="303"/>
      <c r="L34" s="56"/>
      <c r="M34" s="302">
        <v>2.3</v>
      </c>
      <c r="N34" s="304"/>
      <c r="O34"/>
      <c r="P34" s="46" t="s">
        <v>48</v>
      </c>
      <c r="Q34" s="47"/>
      <c r="R34" s="47"/>
      <c r="S34" s="46"/>
      <c r="T34" s="46"/>
      <c r="U34" s="46"/>
      <c r="V34" s="46"/>
    </row>
    <row r="35" spans="1:22" ht="11.25">
      <c r="A35" s="20"/>
      <c r="B35" s="22"/>
      <c r="C35" s="4"/>
      <c r="D35" s="48"/>
      <c r="E35" s="49"/>
      <c r="F35" s="50" t="s">
        <v>45</v>
      </c>
      <c r="G35" s="307">
        <v>1.9</v>
      </c>
      <c r="H35" s="308"/>
      <c r="I35" s="56"/>
      <c r="J35" s="307">
        <v>1.8</v>
      </c>
      <c r="K35" s="308"/>
      <c r="L35" s="56"/>
      <c r="M35" s="307">
        <v>1.6</v>
      </c>
      <c r="N35" s="309"/>
      <c r="O35"/>
      <c r="P35" s="46" t="s">
        <v>50</v>
      </c>
      <c r="Q35" s="47"/>
      <c r="R35" s="47"/>
      <c r="S35" s="46"/>
      <c r="T35" s="46"/>
      <c r="U35" s="46"/>
      <c r="V35" s="46"/>
    </row>
    <row r="36" spans="1:22" ht="11.25">
      <c r="A36" s="20"/>
      <c r="B36" s="22"/>
      <c r="C36" s="4"/>
      <c r="D36" s="48"/>
      <c r="E36" s="49"/>
      <c r="F36" s="50" t="s">
        <v>46</v>
      </c>
      <c r="G36" s="305"/>
      <c r="H36" s="305"/>
      <c r="I36" s="56"/>
      <c r="J36" s="305"/>
      <c r="K36" s="305"/>
      <c r="L36" s="56"/>
      <c r="M36" s="305"/>
      <c r="N36" s="306"/>
      <c r="O36"/>
      <c r="P36" s="46" t="s">
        <v>49</v>
      </c>
      <c r="Q36" s="47"/>
      <c r="R36" s="47"/>
      <c r="S36" s="46"/>
      <c r="T36" s="46"/>
      <c r="U36" s="46"/>
      <c r="V36" s="46"/>
    </row>
    <row r="37" spans="1:18" s="69" customFormat="1" ht="11.25">
      <c r="A37" s="64"/>
      <c r="B37" s="65"/>
      <c r="C37" s="66"/>
      <c r="D37" s="66"/>
      <c r="E37" s="5"/>
      <c r="F37" s="67"/>
      <c r="G37" s="70"/>
      <c r="H37" s="70"/>
      <c r="I37" s="68"/>
      <c r="J37" s="70"/>
      <c r="K37" s="70"/>
      <c r="L37" s="68"/>
      <c r="M37" s="70"/>
      <c r="N37" s="71"/>
      <c r="O37" s="12"/>
      <c r="Q37" s="12"/>
      <c r="R37" s="12"/>
    </row>
    <row r="38" spans="1:22" ht="11.25">
      <c r="A38" s="20"/>
      <c r="B38" s="22"/>
      <c r="C38" s="4"/>
      <c r="D38" s="48"/>
      <c r="E38" s="49"/>
      <c r="F38" s="50" t="s">
        <v>66</v>
      </c>
      <c r="G38" s="305">
        <f>3140+2332</f>
        <v>5472</v>
      </c>
      <c r="H38" s="305"/>
      <c r="I38" s="56"/>
      <c r="J38" s="305">
        <f>3474+2656</f>
        <v>6130</v>
      </c>
      <c r="K38" s="305"/>
      <c r="L38" s="56"/>
      <c r="M38" s="305">
        <f>3004+1692</f>
        <v>4696</v>
      </c>
      <c r="N38" s="306"/>
      <c r="O38"/>
      <c r="P38" s="46" t="s">
        <v>72</v>
      </c>
      <c r="Q38" s="47"/>
      <c r="R38" s="47"/>
      <c r="S38" s="46"/>
      <c r="T38" s="46"/>
      <c r="U38" s="46"/>
      <c r="V38" s="46"/>
    </row>
    <row r="39" spans="1:22" ht="11.25">
      <c r="A39" s="20"/>
      <c r="B39" s="22"/>
      <c r="C39" s="4"/>
      <c r="D39" s="48"/>
      <c r="E39" s="49"/>
      <c r="F39" s="50" t="s">
        <v>65</v>
      </c>
      <c r="G39" s="299">
        <v>2444</v>
      </c>
      <c r="H39" s="300"/>
      <c r="I39" s="56"/>
      <c r="J39" s="299">
        <v>2624</v>
      </c>
      <c r="K39" s="300"/>
      <c r="L39" s="56"/>
      <c r="M39" s="299">
        <v>2868</v>
      </c>
      <c r="N39" s="301"/>
      <c r="O39"/>
      <c r="P39" s="46" t="s">
        <v>73</v>
      </c>
      <c r="Q39" s="47"/>
      <c r="R39" s="47"/>
      <c r="S39" s="46"/>
      <c r="T39" s="46"/>
      <c r="U39" s="46"/>
      <c r="V39" s="46"/>
    </row>
    <row r="40" spans="1:22" ht="11.25">
      <c r="A40" s="20"/>
      <c r="B40" s="22"/>
      <c r="C40" s="4"/>
      <c r="D40" s="48"/>
      <c r="E40" s="49"/>
      <c r="F40" s="50" t="s">
        <v>67</v>
      </c>
      <c r="G40" s="302">
        <v>2416</v>
      </c>
      <c r="H40" s="303"/>
      <c r="I40" s="56"/>
      <c r="J40" s="302">
        <v>2551</v>
      </c>
      <c r="K40" s="303"/>
      <c r="L40" s="56"/>
      <c r="M40" s="302">
        <v>2516</v>
      </c>
      <c r="N40" s="304"/>
      <c r="O40"/>
      <c r="P40" s="46" t="s">
        <v>75</v>
      </c>
      <c r="Q40" s="47"/>
      <c r="R40" s="47"/>
      <c r="S40" s="46"/>
      <c r="T40" s="46"/>
      <c r="U40" s="46"/>
      <c r="V40" s="46"/>
    </row>
    <row r="41" spans="1:22" ht="11.25">
      <c r="A41" s="20"/>
      <c r="B41" s="22"/>
      <c r="C41" s="4"/>
      <c r="D41" s="48"/>
      <c r="E41" s="49"/>
      <c r="F41" s="50" t="s">
        <v>68</v>
      </c>
      <c r="G41" s="302"/>
      <c r="H41" s="303"/>
      <c r="I41" s="56"/>
      <c r="J41" s="302"/>
      <c r="K41" s="303"/>
      <c r="L41" s="56"/>
      <c r="M41" s="302"/>
      <c r="N41" s="304"/>
      <c r="O41"/>
      <c r="P41" s="46" t="s">
        <v>74</v>
      </c>
      <c r="Q41" s="47"/>
      <c r="R41" s="47"/>
      <c r="S41" s="46"/>
      <c r="T41" s="46"/>
      <c r="U41" s="46"/>
      <c r="V41" s="46"/>
    </row>
    <row r="42" spans="1:18" ht="11.25">
      <c r="A42" s="20"/>
      <c r="B42" s="4"/>
      <c r="C42" s="4"/>
      <c r="D42" s="4"/>
      <c r="E42" s="3"/>
      <c r="F42" s="3"/>
      <c r="G42" s="9"/>
      <c r="H42" s="9"/>
      <c r="I42" s="22"/>
      <c r="J42" s="9"/>
      <c r="K42" s="9"/>
      <c r="L42" s="22"/>
      <c r="M42" s="9"/>
      <c r="N42" s="26"/>
      <c r="O42"/>
      <c r="P42"/>
      <c r="Q42"/>
      <c r="R42"/>
    </row>
    <row r="43" spans="1:18" ht="11.25">
      <c r="A43" s="20"/>
      <c r="B43" s="22"/>
      <c r="C43" s="4"/>
      <c r="D43" s="4"/>
      <c r="E43" s="3"/>
      <c r="F43" s="29" t="s">
        <v>22</v>
      </c>
      <c r="G43" s="302">
        <f>+(G11+G18)/(G33+G34)</f>
        <v>1229.367088607595</v>
      </c>
      <c r="H43" s="303"/>
      <c r="I43" s="22"/>
      <c r="J43" s="302">
        <f>+(J11+J18)/(J33+J34)</f>
        <v>1139.5348837209303</v>
      </c>
      <c r="K43" s="303"/>
      <c r="L43" s="22"/>
      <c r="M43" s="302">
        <f>+(M11+M18)/(M33+M34)</f>
        <v>1384.9295774647887</v>
      </c>
      <c r="N43" s="303"/>
      <c r="O43"/>
      <c r="P43" t="s">
        <v>32</v>
      </c>
      <c r="Q43"/>
      <c r="R43"/>
    </row>
    <row r="44" spans="1:18" ht="11.25">
      <c r="A44" s="20"/>
      <c r="B44" s="22"/>
      <c r="C44" s="4"/>
      <c r="D44" s="4"/>
      <c r="E44" s="3"/>
      <c r="F44" s="29" t="s">
        <v>216</v>
      </c>
      <c r="G44" s="332">
        <f>(G11+G18)/SUM(G33:H36)</f>
        <v>991.0204081632652</v>
      </c>
      <c r="H44" s="332"/>
      <c r="I44" s="22"/>
      <c r="J44" s="332">
        <f>(J11+J18)/SUM(J33:K36)</f>
        <v>942.3076923076923</v>
      </c>
      <c r="K44" s="332"/>
      <c r="L44" s="22"/>
      <c r="M44" s="332">
        <f>(M11+M18)/SUM(M33:N36)</f>
        <v>1130.2298850574714</v>
      </c>
      <c r="N44" s="332"/>
      <c r="O44"/>
      <c r="P44"/>
      <c r="Q44"/>
      <c r="R44"/>
    </row>
    <row r="45" spans="1:17" ht="11.25">
      <c r="A45" s="20"/>
      <c r="B45" s="4"/>
      <c r="C45" s="4"/>
      <c r="D45" s="4"/>
      <c r="E45" s="3"/>
      <c r="F45" s="3"/>
      <c r="G45" s="34" t="s">
        <v>24</v>
      </c>
      <c r="H45" s="34" t="s">
        <v>23</v>
      </c>
      <c r="I45" s="28"/>
      <c r="J45" s="34" t="s">
        <v>24</v>
      </c>
      <c r="K45" s="34" t="s">
        <v>23</v>
      </c>
      <c r="L45" s="28"/>
      <c r="M45" s="34" t="s">
        <v>24</v>
      </c>
      <c r="N45" s="35" t="s">
        <v>23</v>
      </c>
      <c r="O45" s="14"/>
      <c r="P45" s="13"/>
      <c r="Q45" s="31"/>
    </row>
    <row r="46" spans="1:22" ht="11.25">
      <c r="A46" s="20"/>
      <c r="B46" s="4"/>
      <c r="C46" s="4"/>
      <c r="D46" s="52"/>
      <c r="E46" s="53"/>
      <c r="F46" s="54" t="s">
        <v>25</v>
      </c>
      <c r="G46" s="76">
        <v>8</v>
      </c>
      <c r="H46" s="32">
        <f>G46/SUM($G$46:$G$49)</f>
        <v>0.8</v>
      </c>
      <c r="I46" s="28"/>
      <c r="J46" s="76">
        <v>7</v>
      </c>
      <c r="K46" s="32">
        <f>J46/SUM($J$46:$J$49)</f>
        <v>0.7777777777777778</v>
      </c>
      <c r="L46" s="28"/>
      <c r="M46" s="76">
        <v>9</v>
      </c>
      <c r="N46" s="36">
        <f>M46/SUM($M$46:$M$49)</f>
        <v>0.9</v>
      </c>
      <c r="O46" s="14"/>
      <c r="P46" s="55" t="s">
        <v>84</v>
      </c>
      <c r="Q46" s="51"/>
      <c r="R46" s="55"/>
      <c r="S46" s="55"/>
      <c r="T46" s="55"/>
      <c r="U46" s="55"/>
      <c r="V46" s="55"/>
    </row>
    <row r="47" spans="1:22" ht="11.25">
      <c r="A47" s="20"/>
      <c r="B47" s="4"/>
      <c r="C47" s="4"/>
      <c r="D47" s="52"/>
      <c r="E47" s="53"/>
      <c r="F47" s="54" t="s">
        <v>13</v>
      </c>
      <c r="G47" s="76">
        <v>2</v>
      </c>
      <c r="H47" s="32">
        <f aca="true" t="shared" si="0" ref="H47:H49">G47/SUM($G$46:$G$49)</f>
        <v>0.2</v>
      </c>
      <c r="I47" s="28"/>
      <c r="J47" s="76">
        <v>2</v>
      </c>
      <c r="K47" s="32">
        <f aca="true" t="shared" si="1" ref="K47:K49">J47/SUM($J$46:$J$49)</f>
        <v>0.2222222222222222</v>
      </c>
      <c r="L47" s="28"/>
      <c r="M47" s="76">
        <v>1</v>
      </c>
      <c r="N47" s="36">
        <f aca="true" t="shared" si="2" ref="N47:N49">M47/SUM($M$46:$M$49)</f>
        <v>0.1</v>
      </c>
      <c r="O47" s="14"/>
      <c r="P47" s="55" t="s">
        <v>84</v>
      </c>
      <c r="Q47" s="51"/>
      <c r="R47" s="55"/>
      <c r="S47" s="55"/>
      <c r="T47" s="55"/>
      <c r="U47" s="55"/>
      <c r="V47" s="55"/>
    </row>
    <row r="48" spans="1:22" ht="11.25">
      <c r="A48" s="20"/>
      <c r="B48" s="4"/>
      <c r="C48" s="4"/>
      <c r="D48" s="52"/>
      <c r="E48" s="53"/>
      <c r="F48" s="54" t="s">
        <v>51</v>
      </c>
      <c r="G48" s="76"/>
      <c r="H48" s="32">
        <f t="shared" si="0"/>
        <v>0</v>
      </c>
      <c r="I48" s="28"/>
      <c r="J48" s="76"/>
      <c r="K48" s="32">
        <f t="shared" si="1"/>
        <v>0</v>
      </c>
      <c r="L48" s="28"/>
      <c r="M48" s="76"/>
      <c r="N48" s="36">
        <f t="shared" si="2"/>
        <v>0</v>
      </c>
      <c r="O48" s="14"/>
      <c r="P48" s="55" t="s">
        <v>85</v>
      </c>
      <c r="Q48" s="51"/>
      <c r="R48" s="55"/>
      <c r="S48" s="55"/>
      <c r="T48" s="55"/>
      <c r="U48" s="55"/>
      <c r="V48" s="55"/>
    </row>
    <row r="49" spans="1:22" ht="11.25">
      <c r="A49" s="20"/>
      <c r="B49" s="4"/>
      <c r="C49" s="4"/>
      <c r="D49" s="52"/>
      <c r="E49" s="53"/>
      <c r="F49" s="54" t="s">
        <v>52</v>
      </c>
      <c r="G49" s="76"/>
      <c r="H49" s="32">
        <f t="shared" si="0"/>
        <v>0</v>
      </c>
      <c r="I49" s="28"/>
      <c r="J49" s="76"/>
      <c r="K49" s="32">
        <f t="shared" si="1"/>
        <v>0</v>
      </c>
      <c r="L49" s="28"/>
      <c r="M49" s="76"/>
      <c r="N49" s="36">
        <f t="shared" si="2"/>
        <v>0</v>
      </c>
      <c r="O49" s="14"/>
      <c r="P49" s="55" t="s">
        <v>85</v>
      </c>
      <c r="Q49" s="51"/>
      <c r="R49" s="55"/>
      <c r="S49" s="55"/>
      <c r="T49" s="55"/>
      <c r="U49" s="55"/>
      <c r="V49" s="55"/>
    </row>
    <row r="50" spans="1:14" ht="11.25">
      <c r="A50" s="21" t="s">
        <v>4</v>
      </c>
      <c r="B50" s="22"/>
      <c r="C50" s="4"/>
      <c r="D50" s="4"/>
      <c r="E50" s="3"/>
      <c r="F50" s="3"/>
      <c r="G50" s="8"/>
      <c r="H50" s="8"/>
      <c r="I50" s="3"/>
      <c r="J50" s="8"/>
      <c r="K50" s="8"/>
      <c r="L50" s="3"/>
      <c r="M50" s="8"/>
      <c r="N50" s="25"/>
    </row>
    <row r="51" spans="1:16" ht="11.25">
      <c r="A51" s="21"/>
      <c r="B51" s="22"/>
      <c r="C51" s="4"/>
      <c r="D51" s="4"/>
      <c r="E51" s="3"/>
      <c r="F51" s="63" t="s">
        <v>77</v>
      </c>
      <c r="G51" s="293">
        <v>0.965</v>
      </c>
      <c r="H51" s="294"/>
      <c r="I51" s="72"/>
      <c r="J51" s="293">
        <v>0.966</v>
      </c>
      <c r="K51" s="294"/>
      <c r="L51" s="72"/>
      <c r="M51" s="293">
        <v>0.968</v>
      </c>
      <c r="N51" s="295"/>
      <c r="P51" s="10" t="s">
        <v>87</v>
      </c>
    </row>
    <row r="52" spans="1:16" ht="11.25">
      <c r="A52" s="21"/>
      <c r="B52" s="22"/>
      <c r="C52" s="4"/>
      <c r="D52" s="4"/>
      <c r="E52" s="3"/>
      <c r="F52" s="63" t="s">
        <v>76</v>
      </c>
      <c r="G52" s="293">
        <v>0.082</v>
      </c>
      <c r="H52" s="294"/>
      <c r="I52" s="72"/>
      <c r="J52" s="293">
        <v>0.056</v>
      </c>
      <c r="K52" s="294"/>
      <c r="L52" s="72"/>
      <c r="M52" s="293">
        <v>0.058</v>
      </c>
      <c r="N52" s="295"/>
      <c r="P52" s="10" t="s">
        <v>79</v>
      </c>
    </row>
    <row r="53" spans="1:16" ht="11" customHeight="1">
      <c r="A53" s="20"/>
      <c r="B53" s="23"/>
      <c r="C53" s="4"/>
      <c r="D53" s="4"/>
      <c r="E53" s="3"/>
      <c r="F53" s="29" t="s">
        <v>10</v>
      </c>
      <c r="G53" s="296">
        <v>4</v>
      </c>
      <c r="H53" s="297"/>
      <c r="I53" s="3"/>
      <c r="J53" s="296">
        <v>6</v>
      </c>
      <c r="K53" s="297"/>
      <c r="L53" s="3"/>
      <c r="M53" s="296">
        <v>5</v>
      </c>
      <c r="N53" s="298"/>
      <c r="P53" s="10" t="s">
        <v>34</v>
      </c>
    </row>
    <row r="54" spans="1:16" ht="11.25">
      <c r="A54" s="20"/>
      <c r="B54" s="23"/>
      <c r="C54" s="4"/>
      <c r="D54" s="4"/>
      <c r="E54" s="3"/>
      <c r="F54" s="29" t="s">
        <v>8</v>
      </c>
      <c r="G54" s="296">
        <v>32</v>
      </c>
      <c r="H54" s="297"/>
      <c r="I54" s="14"/>
      <c r="J54" s="296">
        <v>30</v>
      </c>
      <c r="K54" s="297"/>
      <c r="L54" s="14"/>
      <c r="M54" s="296">
        <v>30</v>
      </c>
      <c r="N54" s="298"/>
      <c r="P54" s="10" t="s">
        <v>36</v>
      </c>
    </row>
    <row r="55" spans="1:16" ht="11.25">
      <c r="A55" s="20"/>
      <c r="B55" s="23"/>
      <c r="C55" s="4"/>
      <c r="D55" s="4"/>
      <c r="E55" s="3"/>
      <c r="F55" s="42" t="s">
        <v>11</v>
      </c>
      <c r="G55" s="296">
        <v>24.6</v>
      </c>
      <c r="H55" s="297"/>
      <c r="I55" s="3"/>
      <c r="J55" s="296">
        <v>24.9</v>
      </c>
      <c r="K55" s="297"/>
      <c r="L55" s="3"/>
      <c r="M55" s="296">
        <v>23.9</v>
      </c>
      <c r="N55" s="298"/>
      <c r="P55" s="10" t="s">
        <v>42</v>
      </c>
    </row>
    <row r="56" spans="1:19" ht="11.25">
      <c r="A56" s="20"/>
      <c r="B56" s="22"/>
      <c r="C56" s="4"/>
      <c r="D56" s="4"/>
      <c r="E56" s="3"/>
      <c r="F56" s="29" t="s">
        <v>9</v>
      </c>
      <c r="G56" s="293">
        <v>0.93</v>
      </c>
      <c r="H56" s="294"/>
      <c r="I56" s="3"/>
      <c r="J56" s="293">
        <v>0.92</v>
      </c>
      <c r="K56" s="294"/>
      <c r="L56" s="3"/>
      <c r="M56" s="293">
        <v>0.93</v>
      </c>
      <c r="N56" s="295"/>
      <c r="P56" s="10" t="s">
        <v>37</v>
      </c>
      <c r="Q56"/>
      <c r="R56"/>
      <c r="S56"/>
    </row>
    <row r="57" spans="1:19" ht="11.25">
      <c r="A57" s="20"/>
      <c r="B57" s="22"/>
      <c r="C57" s="4"/>
      <c r="D57" s="4"/>
      <c r="E57" s="27"/>
      <c r="F57" s="29" t="s">
        <v>12</v>
      </c>
      <c r="G57" s="296">
        <v>0</v>
      </c>
      <c r="H57" s="297"/>
      <c r="I57" s="28"/>
      <c r="J57" s="296">
        <v>0</v>
      </c>
      <c r="K57" s="297"/>
      <c r="L57" s="28"/>
      <c r="M57" s="296">
        <v>1</v>
      </c>
      <c r="N57" s="298"/>
      <c r="P57" s="10" t="s">
        <v>38</v>
      </c>
      <c r="Q57"/>
      <c r="R57"/>
      <c r="S57"/>
    </row>
    <row r="58" spans="1:19" ht="11.25">
      <c r="A58" s="20"/>
      <c r="B58" s="22"/>
      <c r="C58" s="4"/>
      <c r="D58" s="4"/>
      <c r="E58" s="3"/>
      <c r="F58" s="29" t="s">
        <v>19</v>
      </c>
      <c r="G58" s="293">
        <v>0</v>
      </c>
      <c r="H58" s="294"/>
      <c r="I58" s="28"/>
      <c r="J58" s="293">
        <v>0.07</v>
      </c>
      <c r="K58" s="294"/>
      <c r="L58" s="28"/>
      <c r="M58" s="293">
        <v>0.039</v>
      </c>
      <c r="N58" s="295"/>
      <c r="P58" s="10" t="s">
        <v>39</v>
      </c>
      <c r="Q58"/>
      <c r="R58"/>
      <c r="S58"/>
    </row>
    <row r="59" spans="1:19" ht="11.25">
      <c r="A59" s="20"/>
      <c r="B59" s="22"/>
      <c r="C59" s="4"/>
      <c r="D59" s="4"/>
      <c r="E59" s="3"/>
      <c r="F59" s="29" t="s">
        <v>0</v>
      </c>
      <c r="G59" s="293">
        <v>0.072</v>
      </c>
      <c r="H59" s="294"/>
      <c r="I59" s="28"/>
      <c r="J59" s="293">
        <v>0.051</v>
      </c>
      <c r="K59" s="294"/>
      <c r="L59" s="28"/>
      <c r="M59" s="293">
        <v>0.026</v>
      </c>
      <c r="N59" s="295"/>
      <c r="P59" s="10" t="s">
        <v>40</v>
      </c>
      <c r="Q59"/>
      <c r="R59"/>
      <c r="S59"/>
    </row>
    <row r="60" spans="1:14" ht="11.25">
      <c r="A60" s="21" t="s">
        <v>1</v>
      </c>
      <c r="B60" s="28"/>
      <c r="C60" s="28"/>
      <c r="D60" s="28"/>
      <c r="E60" s="28"/>
      <c r="F60" s="28"/>
      <c r="G60" s="28"/>
      <c r="H60" s="28"/>
      <c r="I60" s="28"/>
      <c r="J60" s="28"/>
      <c r="K60" s="28"/>
      <c r="L60" s="28"/>
      <c r="M60" s="28"/>
      <c r="N60" s="33"/>
    </row>
    <row r="61" spans="1:16" ht="11.25">
      <c r="A61" s="37"/>
      <c r="B61" s="28" t="s">
        <v>156</v>
      </c>
      <c r="C61" s="28"/>
      <c r="D61" s="28"/>
      <c r="E61" s="28"/>
      <c r="F61" s="28"/>
      <c r="G61" s="28"/>
      <c r="H61" s="28"/>
      <c r="I61" s="28"/>
      <c r="J61" s="28"/>
      <c r="K61" s="28"/>
      <c r="L61" s="28"/>
      <c r="M61" s="28"/>
      <c r="N61" s="33"/>
      <c r="P61" t="s">
        <v>35</v>
      </c>
    </row>
    <row r="62" spans="1:14" ht="11.25">
      <c r="A62" s="38"/>
      <c r="B62" s="23"/>
      <c r="C62" s="23"/>
      <c r="D62" s="23"/>
      <c r="E62" s="23"/>
      <c r="F62" s="23"/>
      <c r="G62" s="23"/>
      <c r="H62" s="23"/>
      <c r="I62" s="23"/>
      <c r="J62" s="23"/>
      <c r="K62" s="23"/>
      <c r="L62" s="23"/>
      <c r="M62" s="23"/>
      <c r="N62" s="24"/>
    </row>
    <row r="63" spans="1:14" ht="11.25">
      <c r="A63" s="38"/>
      <c r="B63" s="23"/>
      <c r="C63" s="23"/>
      <c r="D63" s="23"/>
      <c r="E63" s="23"/>
      <c r="F63" s="23"/>
      <c r="G63" s="23"/>
      <c r="H63" s="23"/>
      <c r="I63" s="23"/>
      <c r="J63" s="23"/>
      <c r="K63" s="23"/>
      <c r="L63" s="23"/>
      <c r="M63" s="23"/>
      <c r="N63" s="24"/>
    </row>
    <row r="64" spans="1:16" ht="11.25">
      <c r="A64" s="38"/>
      <c r="B64" s="23"/>
      <c r="C64" s="23"/>
      <c r="D64" s="23"/>
      <c r="E64" s="23"/>
      <c r="F64" s="23"/>
      <c r="G64" s="23"/>
      <c r="H64" s="23"/>
      <c r="I64" s="23"/>
      <c r="J64" s="23"/>
      <c r="K64" s="23"/>
      <c r="L64" s="23"/>
      <c r="M64" s="23"/>
      <c r="N64" s="24"/>
      <c r="P64" s="44" t="s">
        <v>41</v>
      </c>
    </row>
    <row r="65" spans="1:14" ht="11.25">
      <c r="A65" s="38"/>
      <c r="B65" s="23"/>
      <c r="C65" s="23"/>
      <c r="D65" s="23"/>
      <c r="E65" s="23"/>
      <c r="F65" s="23"/>
      <c r="G65" s="23"/>
      <c r="H65" s="23"/>
      <c r="I65" s="23"/>
      <c r="J65" s="23"/>
      <c r="K65" s="23"/>
      <c r="L65" s="23"/>
      <c r="M65" s="23"/>
      <c r="N65" s="24"/>
    </row>
    <row r="66" spans="1:14" ht="12.75" thickBot="1">
      <c r="A66" s="39"/>
      <c r="B66" s="40"/>
      <c r="C66" s="40"/>
      <c r="D66" s="40"/>
      <c r="E66" s="40"/>
      <c r="F66" s="40"/>
      <c r="G66" s="40"/>
      <c r="H66" s="40"/>
      <c r="I66" s="40"/>
      <c r="J66" s="40"/>
      <c r="K66" s="40"/>
      <c r="L66" s="40"/>
      <c r="M66" s="40"/>
      <c r="N66" s="41"/>
    </row>
  </sheetData>
  <mergeCells count="122">
    <mergeCell ref="G5:H5"/>
    <mergeCell ref="G6:H6"/>
    <mergeCell ref="G7:H7"/>
    <mergeCell ref="G8:H8"/>
    <mergeCell ref="G9:H9"/>
    <mergeCell ref="J9:K9"/>
    <mergeCell ref="G2:N2"/>
    <mergeCell ref="G3:H3"/>
    <mergeCell ref="J3:K3"/>
    <mergeCell ref="M3:N3"/>
    <mergeCell ref="G4:H4"/>
    <mergeCell ref="J4:K4"/>
    <mergeCell ref="M4:N4"/>
    <mergeCell ref="G13:H13"/>
    <mergeCell ref="J13:K13"/>
    <mergeCell ref="M13:N13"/>
    <mergeCell ref="G14:H14"/>
    <mergeCell ref="J14:K14"/>
    <mergeCell ref="M14:N14"/>
    <mergeCell ref="M9:N9"/>
    <mergeCell ref="G11:H11"/>
    <mergeCell ref="J11:K11"/>
    <mergeCell ref="M11:N11"/>
    <mergeCell ref="G12:H12"/>
    <mergeCell ref="J12:K12"/>
    <mergeCell ref="M12:N12"/>
    <mergeCell ref="G18:H18"/>
    <mergeCell ref="J18:K18"/>
    <mergeCell ref="M18:N18"/>
    <mergeCell ref="G19:H19"/>
    <mergeCell ref="J19:K19"/>
    <mergeCell ref="M19:N19"/>
    <mergeCell ref="G15:H15"/>
    <mergeCell ref="J15:K15"/>
    <mergeCell ref="M15:N15"/>
    <mergeCell ref="G16:H16"/>
    <mergeCell ref="J16:K16"/>
    <mergeCell ref="M16:N16"/>
    <mergeCell ref="G22:H22"/>
    <mergeCell ref="J22:K22"/>
    <mergeCell ref="M22:N22"/>
    <mergeCell ref="G24:H24"/>
    <mergeCell ref="J24:K24"/>
    <mergeCell ref="M24:N24"/>
    <mergeCell ref="G20:H20"/>
    <mergeCell ref="J20:K20"/>
    <mergeCell ref="M20:N20"/>
    <mergeCell ref="G21:H21"/>
    <mergeCell ref="J21:K21"/>
    <mergeCell ref="M21:N21"/>
    <mergeCell ref="G28:H28"/>
    <mergeCell ref="J28:K28"/>
    <mergeCell ref="M28:N28"/>
    <mergeCell ref="G29:H29"/>
    <mergeCell ref="J29:K29"/>
    <mergeCell ref="M29:N29"/>
    <mergeCell ref="G25:H25"/>
    <mergeCell ref="J25:K25"/>
    <mergeCell ref="M25:N25"/>
    <mergeCell ref="G27:H27"/>
    <mergeCell ref="J27:K27"/>
    <mergeCell ref="M27:N27"/>
    <mergeCell ref="G34:H34"/>
    <mergeCell ref="J34:K34"/>
    <mergeCell ref="M34:N34"/>
    <mergeCell ref="G35:H35"/>
    <mergeCell ref="J35:K35"/>
    <mergeCell ref="M35:N35"/>
    <mergeCell ref="G31:H31"/>
    <mergeCell ref="J31:K31"/>
    <mergeCell ref="M31:N31"/>
    <mergeCell ref="G33:H33"/>
    <mergeCell ref="J33:K33"/>
    <mergeCell ref="M33:N33"/>
    <mergeCell ref="G39:H39"/>
    <mergeCell ref="J39:K39"/>
    <mergeCell ref="M39:N39"/>
    <mergeCell ref="G40:H40"/>
    <mergeCell ref="J40:K40"/>
    <mergeCell ref="M40:N40"/>
    <mergeCell ref="G36:H36"/>
    <mergeCell ref="J36:K36"/>
    <mergeCell ref="M36:N36"/>
    <mergeCell ref="G38:H38"/>
    <mergeCell ref="J38:K38"/>
    <mergeCell ref="M38:N38"/>
    <mergeCell ref="G51:H51"/>
    <mergeCell ref="J51:K51"/>
    <mergeCell ref="M51:N51"/>
    <mergeCell ref="G52:H52"/>
    <mergeCell ref="J52:K52"/>
    <mergeCell ref="M52:N52"/>
    <mergeCell ref="G41:H41"/>
    <mergeCell ref="J41:K41"/>
    <mergeCell ref="M41:N41"/>
    <mergeCell ref="G43:H43"/>
    <mergeCell ref="J43:K43"/>
    <mergeCell ref="M43:N43"/>
    <mergeCell ref="G59:H59"/>
    <mergeCell ref="J59:K59"/>
    <mergeCell ref="M59:N59"/>
    <mergeCell ref="G44:H44"/>
    <mergeCell ref="J44:K44"/>
    <mergeCell ref="M44:N44"/>
    <mergeCell ref="G57:H57"/>
    <mergeCell ref="J57:K57"/>
    <mergeCell ref="M57:N57"/>
    <mergeCell ref="G58:H58"/>
    <mergeCell ref="J58:K58"/>
    <mergeCell ref="M58:N58"/>
    <mergeCell ref="G55:H55"/>
    <mergeCell ref="J55:K55"/>
    <mergeCell ref="M55:N55"/>
    <mergeCell ref="G56:H56"/>
    <mergeCell ref="J56:K56"/>
    <mergeCell ref="M56:N56"/>
    <mergeCell ref="G53:H53"/>
    <mergeCell ref="J53:K53"/>
    <mergeCell ref="M53:N53"/>
    <mergeCell ref="G54:H54"/>
    <mergeCell ref="J54:K54"/>
    <mergeCell ref="M54:N54"/>
  </mergeCells>
  <printOptions/>
  <pageMargins left="0.25" right="0.25" top="0.75" bottom="0.75" header="0.3" footer="0.3"/>
  <pageSetup fitToHeight="1" fitToWidth="1" horizontalDpi="1200" verticalDpi="1200" orientation="portrait" scale="94" r:id="rId3"/>
  <colBreaks count="1" manualBreakCount="1">
    <brk id="14" max="16383"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10"/>
  <sheetViews>
    <sheetView workbookViewId="0" topLeftCell="A1">
      <selection activeCell="F10" sqref="F10"/>
    </sheetView>
  </sheetViews>
  <sheetFormatPr defaultColWidth="9.00390625" defaultRowHeight="11.25"/>
  <cols>
    <col min="1" max="1" width="27.125" style="0" bestFit="1" customWidth="1"/>
    <col min="2" max="2" width="18.875" style="0" bestFit="1" customWidth="1"/>
    <col min="3" max="3" width="14.00390625" style="1" customWidth="1"/>
    <col min="4" max="4" width="12.75390625" style="1" customWidth="1"/>
    <col min="6" max="6" width="26.25390625" style="0" bestFit="1" customWidth="1"/>
    <col min="7" max="7" width="24.75390625" style="0" bestFit="1" customWidth="1"/>
    <col min="8" max="8" width="18.875" style="0" bestFit="1" customWidth="1"/>
    <col min="9" max="9" width="16.125" style="0" customWidth="1"/>
    <col min="10" max="10" width="12.875" style="0" customWidth="1"/>
  </cols>
  <sheetData>
    <row r="1" spans="1:10" ht="28.75" thickBot="1">
      <c r="A1" s="1" t="s">
        <v>231</v>
      </c>
      <c r="B1" s="1" t="s">
        <v>653</v>
      </c>
      <c r="C1" s="1" t="s">
        <v>656</v>
      </c>
      <c r="D1" s="1" t="s">
        <v>657</v>
      </c>
      <c r="E1" s="128"/>
      <c r="F1" s="1" t="s">
        <v>17</v>
      </c>
      <c r="G1" s="1" t="s">
        <v>231</v>
      </c>
      <c r="H1" s="1" t="s">
        <v>654</v>
      </c>
      <c r="I1" t="s">
        <v>655</v>
      </c>
      <c r="J1" t="s">
        <v>657</v>
      </c>
    </row>
    <row r="2" spans="1:10" ht="28.75" thickBot="1">
      <c r="A2" s="166" t="s">
        <v>205</v>
      </c>
      <c r="B2" s="167">
        <v>171.66666666666666</v>
      </c>
      <c r="C2" s="250">
        <f>SUM($B$2:$B$102)</f>
        <v>2392.3333333333326</v>
      </c>
      <c r="D2" s="250">
        <v>101</v>
      </c>
      <c r="E2" s="128"/>
      <c r="F2" s="165" t="s">
        <v>366</v>
      </c>
      <c r="G2" s="166" t="s">
        <v>367</v>
      </c>
      <c r="H2" s="167">
        <v>92.66666666666667</v>
      </c>
      <c r="I2" s="249">
        <f>SUM(H2:H29)</f>
        <v>409.83333333333337</v>
      </c>
      <c r="J2">
        <v>28</v>
      </c>
    </row>
    <row r="3" spans="1:8" ht="28.75" thickBot="1">
      <c r="A3" s="169" t="s">
        <v>103</v>
      </c>
      <c r="B3" s="170">
        <v>132.66666666666666</v>
      </c>
      <c r="C3" s="131"/>
      <c r="D3" s="131"/>
      <c r="E3" s="128"/>
      <c r="F3" s="165" t="s">
        <v>335</v>
      </c>
      <c r="G3" s="166" t="s">
        <v>335</v>
      </c>
      <c r="H3" s="167">
        <v>37.333333333333336</v>
      </c>
    </row>
    <row r="4" spans="1:10" ht="28.75" thickBot="1">
      <c r="A4" s="169" t="s">
        <v>347</v>
      </c>
      <c r="B4" s="170">
        <v>131.33333333333334</v>
      </c>
      <c r="C4" s="289" t="s">
        <v>658</v>
      </c>
      <c r="D4" s="290"/>
      <c r="E4" s="128"/>
      <c r="F4" s="165" t="s">
        <v>314</v>
      </c>
      <c r="G4" s="166" t="s">
        <v>315</v>
      </c>
      <c r="H4" s="167">
        <v>36.666666666666664</v>
      </c>
      <c r="I4" s="289" t="s">
        <v>660</v>
      </c>
      <c r="J4" s="290"/>
    </row>
    <row r="5" spans="1:10" ht="28.75" thickBot="1">
      <c r="A5" s="23" t="s">
        <v>253</v>
      </c>
      <c r="B5" s="119">
        <v>94.66666666666667</v>
      </c>
      <c r="C5" s="251">
        <f>SUMIF($B$2:$B$102,"&gt;19")</f>
        <v>1886.3333333333335</v>
      </c>
      <c r="D5" s="1">
        <f>COUNTIF($B$2:$B$102,"&gt;19")</f>
        <v>31</v>
      </c>
      <c r="E5" s="128"/>
      <c r="F5" s="165" t="s">
        <v>329</v>
      </c>
      <c r="G5" s="166" t="s">
        <v>329</v>
      </c>
      <c r="H5" s="167">
        <v>32</v>
      </c>
      <c r="I5" s="251">
        <f>SUMIF(H2:H102,"&gt;9")</f>
        <v>341.49999999999994</v>
      </c>
      <c r="J5" s="1">
        <f>COUNTIF(H2:H102,"&gt;9")</f>
        <v>12</v>
      </c>
    </row>
    <row r="6" spans="1:8" ht="28.75" thickBot="1">
      <c r="A6" s="40" t="s">
        <v>458</v>
      </c>
      <c r="B6" s="120">
        <v>91.66666666666667</v>
      </c>
      <c r="C6" s="131"/>
      <c r="D6" s="131"/>
      <c r="E6" s="128"/>
      <c r="F6" s="165" t="s">
        <v>118</v>
      </c>
      <c r="G6" s="166" t="s">
        <v>118</v>
      </c>
      <c r="H6" s="167">
        <v>27.666666666666668</v>
      </c>
    </row>
    <row r="7" spans="1:10" ht="28.75" thickBot="1">
      <c r="A7" s="23" t="s">
        <v>240</v>
      </c>
      <c r="B7" s="119">
        <v>90</v>
      </c>
      <c r="C7" s="289" t="s">
        <v>659</v>
      </c>
      <c r="D7" s="290"/>
      <c r="E7" s="128"/>
      <c r="F7" s="165" t="s">
        <v>247</v>
      </c>
      <c r="G7" s="166" t="s">
        <v>248</v>
      </c>
      <c r="H7" s="167">
        <v>25</v>
      </c>
      <c r="I7" s="289" t="s">
        <v>659</v>
      </c>
      <c r="J7" s="290"/>
    </row>
    <row r="8" spans="1:10" ht="28.75" thickBot="1">
      <c r="A8" s="169" t="s">
        <v>234</v>
      </c>
      <c r="B8" s="170">
        <v>81.33333333333333</v>
      </c>
      <c r="C8" s="252">
        <f>C5/C2</f>
        <v>0.7884910129580608</v>
      </c>
      <c r="D8" s="252">
        <f>D5/D2</f>
        <v>0.3069306930693069</v>
      </c>
      <c r="E8" s="128"/>
      <c r="F8" s="165" t="s">
        <v>340</v>
      </c>
      <c r="G8" s="166" t="s">
        <v>341</v>
      </c>
      <c r="H8" s="167">
        <v>19.333333333333332</v>
      </c>
      <c r="I8" s="252">
        <f>I5/I2</f>
        <v>0.8332655551037005</v>
      </c>
      <c r="J8" s="252">
        <f>J5/J2</f>
        <v>0.42857142857142855</v>
      </c>
    </row>
    <row r="9" spans="1:8" ht="28.75" thickBot="1">
      <c r="A9" s="28" t="s">
        <v>445</v>
      </c>
      <c r="B9" s="119">
        <v>81.33333333333333</v>
      </c>
      <c r="C9" s="131"/>
      <c r="D9" s="131"/>
      <c r="E9" s="128"/>
      <c r="F9" s="165" t="s">
        <v>280</v>
      </c>
      <c r="G9" s="166" t="s">
        <v>114</v>
      </c>
      <c r="H9" s="167">
        <v>18.333333333333332</v>
      </c>
    </row>
    <row r="10" spans="1:8" ht="28.75" thickBot="1">
      <c r="A10" s="40" t="s">
        <v>112</v>
      </c>
      <c r="B10" s="120">
        <v>79.33333333333333</v>
      </c>
      <c r="C10" s="289" t="s">
        <v>660</v>
      </c>
      <c r="D10" s="290"/>
      <c r="E10" s="128"/>
      <c r="F10" s="165" t="s">
        <v>347</v>
      </c>
      <c r="G10" s="166" t="s">
        <v>348</v>
      </c>
      <c r="H10" s="167">
        <v>17.666666666666668</v>
      </c>
    </row>
    <row r="11" spans="1:8" ht="28.75" thickBot="1">
      <c r="A11" s="169" t="s">
        <v>430</v>
      </c>
      <c r="B11" s="244">
        <v>73</v>
      </c>
      <c r="C11" s="251">
        <f>SUMIF($B$2:$B$102,"&gt;9")</f>
        <v>2195.6666666666665</v>
      </c>
      <c r="D11" s="1">
        <f>COUNTIF($B$2:$B$102,"&gt;9")</f>
        <v>54</v>
      </c>
      <c r="E11" s="128"/>
      <c r="F11" s="165" t="s">
        <v>358</v>
      </c>
      <c r="G11" s="166" t="s">
        <v>359</v>
      </c>
      <c r="H11" s="167">
        <v>12.333333333333334</v>
      </c>
    </row>
    <row r="12" spans="1:8" ht="28.75" thickBot="1">
      <c r="A12" s="23" t="s">
        <v>367</v>
      </c>
      <c r="B12" s="119">
        <v>69.66666666666667</v>
      </c>
      <c r="C12" s="131"/>
      <c r="D12" s="131"/>
      <c r="E12" s="128"/>
      <c r="F12" s="165" t="s">
        <v>93</v>
      </c>
      <c r="G12" s="166" t="s">
        <v>234</v>
      </c>
      <c r="H12" s="167">
        <v>11.5</v>
      </c>
    </row>
    <row r="13" spans="1:8" ht="28.75" thickBot="1">
      <c r="A13" s="23" t="s">
        <v>411</v>
      </c>
      <c r="B13" s="119">
        <v>67.33333333333333</v>
      </c>
      <c r="C13" s="289" t="s">
        <v>659</v>
      </c>
      <c r="D13" s="290"/>
      <c r="E13" s="128"/>
      <c r="F13" s="165" t="s">
        <v>280</v>
      </c>
      <c r="G13" s="166" t="s">
        <v>280</v>
      </c>
      <c r="H13" s="167">
        <v>11</v>
      </c>
    </row>
    <row r="14" spans="1:8" ht="28.75" thickBot="1">
      <c r="A14" s="243" t="s">
        <v>108</v>
      </c>
      <c r="B14" s="120">
        <v>64</v>
      </c>
      <c r="C14" s="252">
        <f>C11/C2</f>
        <v>0.9177929497004321</v>
      </c>
      <c r="D14" s="252">
        <f>D11/D2</f>
        <v>0.5346534653465347</v>
      </c>
      <c r="E14" s="128"/>
      <c r="F14" s="165" t="s">
        <v>103</v>
      </c>
      <c r="G14" s="166" t="s">
        <v>103</v>
      </c>
      <c r="H14" s="167">
        <v>9</v>
      </c>
    </row>
    <row r="15" spans="1:8" ht="28.75" thickBot="1">
      <c r="A15" s="169" t="s">
        <v>236</v>
      </c>
      <c r="B15" s="170">
        <v>63</v>
      </c>
      <c r="C15" s="131"/>
      <c r="D15" s="131"/>
      <c r="E15" s="128"/>
      <c r="F15" s="165" t="s">
        <v>253</v>
      </c>
      <c r="G15" s="166" t="s">
        <v>254</v>
      </c>
      <c r="H15" s="167">
        <v>9</v>
      </c>
    </row>
    <row r="16" spans="1:8" ht="28.75" thickBot="1">
      <c r="A16" s="23" t="s">
        <v>399</v>
      </c>
      <c r="B16" s="119">
        <v>61</v>
      </c>
      <c r="C16" s="131"/>
      <c r="D16" s="131"/>
      <c r="E16" s="128"/>
      <c r="F16" s="165" t="s">
        <v>347</v>
      </c>
      <c r="G16" s="166" t="s">
        <v>347</v>
      </c>
      <c r="H16" s="167">
        <v>8</v>
      </c>
    </row>
    <row r="17" spans="1:8" ht="28.75" thickBot="1">
      <c r="A17" s="28" t="s">
        <v>450</v>
      </c>
      <c r="B17" s="119">
        <v>57.333333333333336</v>
      </c>
      <c r="C17" s="131"/>
      <c r="D17" s="131"/>
      <c r="E17" s="128"/>
      <c r="F17" s="165" t="s">
        <v>140</v>
      </c>
      <c r="G17" s="166" t="s">
        <v>140</v>
      </c>
      <c r="H17" s="167">
        <v>7</v>
      </c>
    </row>
    <row r="18" spans="1:8" ht="28.75" thickBot="1">
      <c r="A18" s="166" t="s">
        <v>395</v>
      </c>
      <c r="B18" s="167">
        <v>50.666666666666664</v>
      </c>
      <c r="C18" s="131"/>
      <c r="D18" s="131"/>
      <c r="E18" s="128"/>
      <c r="F18" s="165" t="s">
        <v>383</v>
      </c>
      <c r="G18" s="166" t="s">
        <v>384</v>
      </c>
      <c r="H18" s="167">
        <v>6.666666666666667</v>
      </c>
    </row>
    <row r="19" spans="1:8" ht="28.75" thickBot="1">
      <c r="A19" s="166" t="s">
        <v>265</v>
      </c>
      <c r="B19" s="167">
        <v>50</v>
      </c>
      <c r="C19" s="131"/>
      <c r="D19" s="131"/>
      <c r="E19" s="128"/>
      <c r="F19" s="165" t="s">
        <v>112</v>
      </c>
      <c r="G19" s="166" t="s">
        <v>112</v>
      </c>
      <c r="H19" s="167">
        <v>5.666666666666667</v>
      </c>
    </row>
    <row r="20" spans="1:8" ht="28.75" thickBot="1">
      <c r="A20" s="166" t="s">
        <v>121</v>
      </c>
      <c r="B20" s="167">
        <v>42.333333333333336</v>
      </c>
      <c r="C20" s="131"/>
      <c r="D20" s="131"/>
      <c r="E20" s="128"/>
      <c r="F20" s="168" t="s">
        <v>295</v>
      </c>
      <c r="G20" s="169" t="s">
        <v>304</v>
      </c>
      <c r="H20" s="170">
        <v>5.666666666666667</v>
      </c>
    </row>
    <row r="21" spans="1:8" ht="28.75" thickBot="1">
      <c r="A21" s="169" t="s">
        <v>356</v>
      </c>
      <c r="B21" s="170">
        <v>42</v>
      </c>
      <c r="C21" s="131"/>
      <c r="D21" s="131"/>
      <c r="E21" s="128"/>
      <c r="F21" s="168" t="s">
        <v>162</v>
      </c>
      <c r="G21" s="169" t="s">
        <v>162</v>
      </c>
      <c r="H21" s="170">
        <v>5.666666666666667</v>
      </c>
    </row>
    <row r="22" spans="1:8" ht="28.75" thickBot="1">
      <c r="A22" s="182" t="s">
        <v>480</v>
      </c>
      <c r="B22" s="170">
        <v>36</v>
      </c>
      <c r="C22" s="131"/>
      <c r="D22" s="131"/>
      <c r="E22" s="128"/>
      <c r="F22" s="168" t="s">
        <v>265</v>
      </c>
      <c r="G22" s="169" t="s">
        <v>265</v>
      </c>
      <c r="H22" s="170">
        <v>4</v>
      </c>
    </row>
    <row r="23" spans="1:8" ht="28.75" thickBot="1">
      <c r="A23" s="23" t="s">
        <v>407</v>
      </c>
      <c r="B23" s="119">
        <v>35.666666666666664</v>
      </c>
      <c r="C23" s="131"/>
      <c r="D23" s="131"/>
      <c r="E23" s="128"/>
      <c r="F23" s="168" t="s">
        <v>295</v>
      </c>
      <c r="G23" s="169" t="s">
        <v>296</v>
      </c>
      <c r="H23" s="170">
        <v>2.6666666666666665</v>
      </c>
    </row>
    <row r="24" spans="1:8" ht="28">
      <c r="A24" s="28" t="s">
        <v>280</v>
      </c>
      <c r="B24" s="119">
        <v>34</v>
      </c>
      <c r="C24" s="131"/>
      <c r="D24" s="131"/>
      <c r="E24" s="128"/>
      <c r="F24" s="168" t="s">
        <v>280</v>
      </c>
      <c r="G24" s="169" t="s">
        <v>290</v>
      </c>
      <c r="H24" s="170">
        <v>2</v>
      </c>
    </row>
    <row r="25" spans="1:8" ht="28">
      <c r="A25" s="23" t="s">
        <v>193</v>
      </c>
      <c r="B25" s="119">
        <v>28</v>
      </c>
      <c r="C25" s="131"/>
      <c r="D25" s="131"/>
      <c r="E25" s="128"/>
      <c r="F25" s="38" t="s">
        <v>118</v>
      </c>
      <c r="G25" s="23" t="s">
        <v>271</v>
      </c>
      <c r="H25" s="119">
        <v>1</v>
      </c>
    </row>
    <row r="26" spans="1:8" ht="28">
      <c r="A26" s="23" t="s">
        <v>364</v>
      </c>
      <c r="B26" s="119">
        <v>26.333333333333332</v>
      </c>
      <c r="C26" s="131"/>
      <c r="D26" s="131"/>
      <c r="E26" s="128"/>
      <c r="F26" s="38" t="s">
        <v>280</v>
      </c>
      <c r="G26" s="23" t="s">
        <v>287</v>
      </c>
      <c r="H26" s="119">
        <v>1</v>
      </c>
    </row>
    <row r="27" spans="1:8" ht="28.75" thickBot="1">
      <c r="A27" s="1" t="s">
        <v>434</v>
      </c>
      <c r="B27" s="245">
        <v>25</v>
      </c>
      <c r="C27" s="131"/>
      <c r="D27" s="131"/>
      <c r="E27" s="128"/>
      <c r="F27" s="39" t="s">
        <v>302</v>
      </c>
      <c r="G27" s="40" t="s">
        <v>313</v>
      </c>
      <c r="H27" s="120">
        <v>1</v>
      </c>
    </row>
    <row r="28" spans="1:8" ht="28">
      <c r="A28" s="23" t="s">
        <v>248</v>
      </c>
      <c r="B28" s="119">
        <v>25</v>
      </c>
      <c r="C28" s="131"/>
      <c r="D28" s="131"/>
      <c r="E28" s="128"/>
      <c r="F28" s="38" t="s">
        <v>519</v>
      </c>
      <c r="G28" s="23" t="s">
        <v>373</v>
      </c>
      <c r="H28" s="119">
        <v>0</v>
      </c>
    </row>
    <row r="29" spans="1:8" ht="28">
      <c r="A29" s="23" t="s">
        <v>378</v>
      </c>
      <c r="B29" s="119">
        <v>21</v>
      </c>
      <c r="C29" s="131"/>
      <c r="D29" s="131"/>
      <c r="E29" s="128"/>
      <c r="F29" s="38" t="s">
        <v>519</v>
      </c>
      <c r="G29" s="23" t="s">
        <v>240</v>
      </c>
      <c r="H29" s="119">
        <v>0</v>
      </c>
    </row>
    <row r="30" spans="1:5" ht="28">
      <c r="A30" s="28" t="s">
        <v>425</v>
      </c>
      <c r="B30" s="119">
        <v>20.666666666666668</v>
      </c>
      <c r="C30" s="131"/>
      <c r="D30" s="131"/>
      <c r="E30" s="128"/>
    </row>
    <row r="31" spans="1:5" ht="28">
      <c r="A31" s="23" t="s">
        <v>365</v>
      </c>
      <c r="B31" s="119">
        <v>20.666666666666668</v>
      </c>
      <c r="C31" s="131"/>
      <c r="D31" s="131"/>
      <c r="E31" s="128"/>
    </row>
    <row r="32" spans="1:5" ht="28">
      <c r="A32" s="1" t="s">
        <v>473</v>
      </c>
      <c r="B32" s="119">
        <v>19.666666666666668</v>
      </c>
      <c r="C32" s="131"/>
      <c r="D32" s="131"/>
      <c r="E32" s="128"/>
    </row>
    <row r="33" spans="1:5" ht="28">
      <c r="A33" s="23" t="s">
        <v>412</v>
      </c>
      <c r="B33" s="119">
        <v>19</v>
      </c>
      <c r="C33" s="131"/>
      <c r="D33" s="131"/>
      <c r="E33" s="128"/>
    </row>
    <row r="34" spans="1:5" ht="28">
      <c r="A34" s="1" t="s">
        <v>469</v>
      </c>
      <c r="B34" s="119">
        <v>18.666666666666668</v>
      </c>
      <c r="C34" s="131"/>
      <c r="D34" s="131"/>
      <c r="E34" s="128"/>
    </row>
    <row r="35" spans="1:5" ht="28">
      <c r="A35" s="23" t="s">
        <v>241</v>
      </c>
      <c r="B35" s="119">
        <v>17</v>
      </c>
      <c r="C35" s="131"/>
      <c r="D35" s="131"/>
      <c r="E35" s="128"/>
    </row>
    <row r="36" spans="1:5" ht="28">
      <c r="A36" s="23" t="s">
        <v>245</v>
      </c>
      <c r="B36" s="119">
        <v>16.666666666666668</v>
      </c>
      <c r="C36" s="131"/>
      <c r="D36" s="131"/>
      <c r="E36" s="128"/>
    </row>
    <row r="37" spans="1:5" ht="28">
      <c r="A37" s="28" t="s">
        <v>196</v>
      </c>
      <c r="B37" s="245">
        <v>16</v>
      </c>
      <c r="C37" s="131"/>
      <c r="D37" s="131"/>
      <c r="E37" s="128"/>
    </row>
    <row r="38" spans="1:5" ht="28.75" thickBot="1">
      <c r="A38" s="40" t="s">
        <v>377</v>
      </c>
      <c r="B38" s="120">
        <v>15.333333333333334</v>
      </c>
      <c r="C38" s="131"/>
      <c r="D38" s="131"/>
      <c r="E38" s="128"/>
    </row>
    <row r="39" spans="1:5" ht="28">
      <c r="A39" s="23" t="s">
        <v>284</v>
      </c>
      <c r="B39" s="119">
        <v>15</v>
      </c>
      <c r="C39" s="131"/>
      <c r="D39" s="131"/>
      <c r="E39" s="128"/>
    </row>
    <row r="40" spans="1:5" ht="28.75" thickBot="1">
      <c r="A40" s="28" t="s">
        <v>128</v>
      </c>
      <c r="B40" s="119">
        <v>15</v>
      </c>
      <c r="C40" s="131"/>
      <c r="D40" s="131"/>
      <c r="E40" s="128"/>
    </row>
    <row r="41" spans="1:5" ht="28">
      <c r="A41" s="182" t="s">
        <v>475</v>
      </c>
      <c r="B41" s="170">
        <v>14</v>
      </c>
      <c r="C41" s="131"/>
      <c r="D41" s="131"/>
      <c r="E41" s="128"/>
    </row>
    <row r="42" spans="1:5" ht="28">
      <c r="A42" s="23" t="s">
        <v>416</v>
      </c>
      <c r="B42" s="119">
        <v>13.333333333333334</v>
      </c>
      <c r="C42" s="131"/>
      <c r="D42" s="131"/>
      <c r="E42" s="128"/>
    </row>
    <row r="43" spans="1:5" ht="28">
      <c r="A43" s="23" t="s">
        <v>246</v>
      </c>
      <c r="B43" s="119">
        <v>13.333333333333334</v>
      </c>
      <c r="C43" s="131"/>
      <c r="D43" s="131"/>
      <c r="E43" s="128"/>
    </row>
    <row r="44" spans="1:5" ht="28.75" thickBot="1">
      <c r="A44" s="40" t="s">
        <v>372</v>
      </c>
      <c r="B44" s="120">
        <v>13</v>
      </c>
      <c r="C44" s="131"/>
      <c r="D44" s="131"/>
      <c r="E44" s="128"/>
    </row>
    <row r="45" spans="1:5" ht="28">
      <c r="A45" s="28" t="s">
        <v>140</v>
      </c>
      <c r="B45" s="119">
        <v>12</v>
      </c>
      <c r="C45" s="131"/>
      <c r="D45" s="131"/>
      <c r="E45" s="128"/>
    </row>
    <row r="46" spans="1:5" ht="28.75" thickBot="1">
      <c r="A46" s="28" t="s">
        <v>476</v>
      </c>
      <c r="B46" s="117">
        <v>12</v>
      </c>
      <c r="C46" s="131"/>
      <c r="D46" s="131"/>
      <c r="E46" s="128"/>
    </row>
    <row r="47" spans="1:5" ht="28">
      <c r="A47" s="169" t="s">
        <v>345</v>
      </c>
      <c r="B47" s="117">
        <v>11.666666666666666</v>
      </c>
      <c r="C47" s="131"/>
      <c r="D47" s="131"/>
      <c r="E47" s="128"/>
    </row>
    <row r="48" spans="1:5" ht="28">
      <c r="A48" s="23" t="s">
        <v>346</v>
      </c>
      <c r="B48" s="117">
        <v>11.666666666666666</v>
      </c>
      <c r="C48" s="131"/>
      <c r="D48" s="131"/>
      <c r="E48" s="128"/>
    </row>
    <row r="49" spans="1:5" ht="28">
      <c r="A49" s="1" t="s">
        <v>451</v>
      </c>
      <c r="B49" s="184">
        <v>11.333333333333334</v>
      </c>
      <c r="C49" s="131"/>
      <c r="D49" s="131"/>
      <c r="E49" s="128"/>
    </row>
    <row r="50" spans="1:5" ht="28">
      <c r="A50" s="23" t="s">
        <v>394</v>
      </c>
      <c r="B50" s="117">
        <v>11</v>
      </c>
      <c r="C50" s="131"/>
      <c r="D50" s="131"/>
      <c r="E50" s="128"/>
    </row>
    <row r="51" spans="1:5" ht="28.75" thickBot="1">
      <c r="A51" s="183" t="s">
        <v>130</v>
      </c>
      <c r="B51" s="184">
        <v>11</v>
      </c>
      <c r="C51" s="131"/>
      <c r="D51" s="131"/>
      <c r="E51" s="128"/>
    </row>
    <row r="52" spans="1:5" ht="28">
      <c r="A52" s="28" t="s">
        <v>135</v>
      </c>
      <c r="B52" s="184">
        <v>11</v>
      </c>
      <c r="C52" s="131"/>
      <c r="D52" s="131"/>
      <c r="E52" s="128"/>
    </row>
    <row r="53" spans="1:5" ht="28">
      <c r="A53" s="23" t="s">
        <v>294</v>
      </c>
      <c r="B53" s="117">
        <v>11</v>
      </c>
      <c r="C53" s="131"/>
      <c r="D53" s="131"/>
      <c r="E53" s="128"/>
    </row>
    <row r="54" spans="1:5" ht="28">
      <c r="A54" s="28" t="s">
        <v>150</v>
      </c>
      <c r="B54" s="184">
        <v>10.666666666666666</v>
      </c>
      <c r="C54" s="131"/>
      <c r="D54" s="131"/>
      <c r="E54" s="128"/>
    </row>
    <row r="55" spans="1:5" ht="28">
      <c r="A55" s="1" t="s">
        <v>462</v>
      </c>
      <c r="B55" s="184">
        <v>9.666666666666666</v>
      </c>
      <c r="C55" s="131"/>
      <c r="D55" s="131"/>
      <c r="E55" s="128"/>
    </row>
    <row r="56" spans="1:5" ht="28.75" thickBot="1">
      <c r="A56" s="28" t="s">
        <v>304</v>
      </c>
      <c r="B56" s="184">
        <v>9</v>
      </c>
      <c r="C56" s="131"/>
      <c r="D56" s="131"/>
      <c r="E56" s="128"/>
    </row>
    <row r="57" spans="1:5" ht="28">
      <c r="A57" s="169" t="s">
        <v>269</v>
      </c>
      <c r="B57" s="117">
        <v>8.666666666666666</v>
      </c>
      <c r="C57" s="131"/>
      <c r="D57" s="131"/>
      <c r="E57" s="128"/>
    </row>
    <row r="58" spans="1:5" ht="28">
      <c r="A58" s="23" t="s">
        <v>285</v>
      </c>
      <c r="B58" s="117">
        <v>8.666666666666666</v>
      </c>
      <c r="C58" s="131"/>
      <c r="D58" s="131"/>
      <c r="E58" s="128"/>
    </row>
    <row r="59" spans="1:5" ht="28">
      <c r="A59" s="23" t="s">
        <v>303</v>
      </c>
      <c r="B59" s="117">
        <v>8.666666666666666</v>
      </c>
      <c r="C59" s="131"/>
      <c r="D59" s="131"/>
      <c r="E59" s="128"/>
    </row>
    <row r="60" spans="1:5" ht="28.75" thickBot="1">
      <c r="A60" s="40" t="s">
        <v>465</v>
      </c>
      <c r="B60" s="184">
        <v>8.666666666666666</v>
      </c>
      <c r="C60" s="131"/>
      <c r="D60" s="131"/>
      <c r="E60" s="128"/>
    </row>
    <row r="61" spans="1:5" ht="28.75" thickBot="1">
      <c r="A61" s="40" t="s">
        <v>270</v>
      </c>
      <c r="B61" s="117">
        <v>8</v>
      </c>
      <c r="C61" s="131"/>
      <c r="D61" s="131"/>
      <c r="E61" s="128"/>
    </row>
    <row r="62" spans="1:5" ht="28">
      <c r="A62" s="28" t="s">
        <v>446</v>
      </c>
      <c r="B62" s="186">
        <v>8</v>
      </c>
      <c r="C62" s="131"/>
      <c r="D62" s="131"/>
      <c r="E62" s="128"/>
    </row>
    <row r="63" spans="1:5" ht="28.75" thickBot="1">
      <c r="A63" s="23" t="s">
        <v>519</v>
      </c>
      <c r="B63" s="117">
        <v>8</v>
      </c>
      <c r="C63" s="131"/>
      <c r="D63" s="131"/>
      <c r="E63" s="128"/>
    </row>
    <row r="64" spans="1:5" ht="28">
      <c r="A64" s="169" t="s">
        <v>334</v>
      </c>
      <c r="B64" s="170">
        <v>7.666666666666667</v>
      </c>
      <c r="C64" s="131"/>
      <c r="D64" s="131"/>
      <c r="E64" s="128"/>
    </row>
    <row r="65" spans="1:5" ht="28.75" thickBot="1">
      <c r="A65" s="40" t="s">
        <v>359</v>
      </c>
      <c r="B65" s="120">
        <v>7.333333333333333</v>
      </c>
      <c r="C65" s="131"/>
      <c r="D65" s="131"/>
      <c r="E65" s="128"/>
    </row>
    <row r="66" spans="1:5" ht="28">
      <c r="A66" s="182" t="s">
        <v>429</v>
      </c>
      <c r="B66" s="119">
        <v>7</v>
      </c>
      <c r="C66" s="131"/>
      <c r="D66" s="131"/>
      <c r="E66" s="128"/>
    </row>
    <row r="67" spans="1:5" ht="28">
      <c r="A67" s="28" t="s">
        <v>269</v>
      </c>
      <c r="B67" s="119">
        <v>7</v>
      </c>
      <c r="C67" s="131"/>
      <c r="D67" s="131"/>
      <c r="E67" s="128"/>
    </row>
    <row r="68" spans="1:5" ht="28.75" thickBot="1">
      <c r="A68" s="183" t="s">
        <v>439</v>
      </c>
      <c r="B68" s="119">
        <v>6.666666666666667</v>
      </c>
      <c r="C68" s="131"/>
      <c r="D68" s="131"/>
      <c r="E68" s="128"/>
    </row>
    <row r="69" spans="1:5" ht="28">
      <c r="A69" s="23" t="s">
        <v>391</v>
      </c>
      <c r="B69" s="119">
        <v>6.666666666666667</v>
      </c>
      <c r="C69" s="131"/>
      <c r="D69" s="131"/>
      <c r="E69" s="128"/>
    </row>
    <row r="70" spans="1:5" ht="11.25">
      <c r="A70" s="23" t="s">
        <v>328</v>
      </c>
      <c r="B70" s="119">
        <v>5.333333333333333</v>
      </c>
      <c r="E70" s="1"/>
    </row>
    <row r="71" spans="1:5" ht="11.25">
      <c r="A71" s="28" t="s">
        <v>477</v>
      </c>
      <c r="B71" s="119">
        <v>5</v>
      </c>
      <c r="E71" s="1"/>
    </row>
    <row r="72" spans="1:5" ht="11.25">
      <c r="A72" s="23" t="s">
        <v>259</v>
      </c>
      <c r="B72" s="117">
        <v>5</v>
      </c>
      <c r="E72" s="1"/>
    </row>
    <row r="73" spans="1:5" ht="12.75" thickBot="1">
      <c r="A73" s="23" t="s">
        <v>161</v>
      </c>
      <c r="B73" s="117">
        <v>5</v>
      </c>
      <c r="E73" s="1"/>
    </row>
    <row r="74" spans="1:5" ht="11.25">
      <c r="A74" s="169" t="s">
        <v>455</v>
      </c>
      <c r="B74" s="170">
        <v>5</v>
      </c>
      <c r="E74" s="1"/>
    </row>
    <row r="75" spans="1:5" ht="11.25">
      <c r="A75" s="23" t="s">
        <v>263</v>
      </c>
      <c r="B75" s="119">
        <v>4.666666666666667</v>
      </c>
      <c r="E75" s="1"/>
    </row>
    <row r="76" spans="1:5" ht="11.25">
      <c r="A76" s="23" t="s">
        <v>339</v>
      </c>
      <c r="B76" s="119">
        <v>4.666666666666667</v>
      </c>
      <c r="E76" s="1"/>
    </row>
    <row r="77" spans="1:5" ht="11.25">
      <c r="A77" s="23" t="s">
        <v>357</v>
      </c>
      <c r="B77" s="119">
        <v>4.666666666666667</v>
      </c>
      <c r="E77" s="1"/>
    </row>
    <row r="78" spans="1:5" ht="12.75" thickBot="1">
      <c r="A78" s="40" t="s">
        <v>162</v>
      </c>
      <c r="B78" s="120">
        <v>4.333333333333333</v>
      </c>
      <c r="E78" s="1"/>
    </row>
    <row r="79" spans="1:5" ht="11.25">
      <c r="A79" s="182" t="s">
        <v>479</v>
      </c>
      <c r="B79" s="170">
        <v>4</v>
      </c>
      <c r="E79" s="1"/>
    </row>
    <row r="80" spans="1:5" ht="11.25">
      <c r="A80" s="23" t="s">
        <v>274</v>
      </c>
      <c r="B80" s="119">
        <v>3.6666666666666665</v>
      </c>
      <c r="E80" s="1"/>
    </row>
    <row r="81" spans="1:5" ht="12.75" thickBot="1">
      <c r="A81" s="40" t="s">
        <v>286</v>
      </c>
      <c r="B81" s="120">
        <v>3.3333333333333335</v>
      </c>
      <c r="E81" s="1"/>
    </row>
    <row r="82" spans="1:5" ht="11.25">
      <c r="A82" s="23" t="s">
        <v>382</v>
      </c>
      <c r="B82" s="119">
        <v>3.3333333333333335</v>
      </c>
      <c r="E82" s="1"/>
    </row>
    <row r="83" spans="1:5" ht="11.25">
      <c r="A83" s="23" t="s">
        <v>333</v>
      </c>
      <c r="B83" s="119">
        <v>3</v>
      </c>
      <c r="E83" s="1"/>
    </row>
    <row r="84" spans="1:5" ht="11.25">
      <c r="A84" s="23" t="s">
        <v>352</v>
      </c>
      <c r="B84" s="119">
        <v>3</v>
      </c>
      <c r="E84" s="1"/>
    </row>
    <row r="85" spans="1:5" ht="11.25">
      <c r="A85" s="23" t="s">
        <v>403</v>
      </c>
      <c r="B85" s="119">
        <v>3</v>
      </c>
      <c r="E85" s="1"/>
    </row>
    <row r="86" spans="1:5" ht="11.25">
      <c r="A86" s="23" t="s">
        <v>321</v>
      </c>
      <c r="B86" s="119">
        <v>2.6666666666666665</v>
      </c>
      <c r="E86" s="1"/>
    </row>
    <row r="87" spans="1:5" ht="12.75" thickBot="1">
      <c r="A87" s="40" t="s">
        <v>252</v>
      </c>
      <c r="B87" s="120">
        <v>2.3333333333333335</v>
      </c>
      <c r="E87" s="1"/>
    </row>
    <row r="88" spans="1:5" ht="11.25">
      <c r="A88" s="23" t="s">
        <v>168</v>
      </c>
      <c r="B88" s="119">
        <v>2.3333333333333335</v>
      </c>
      <c r="E88" s="1"/>
    </row>
    <row r="89" spans="1:5" ht="12.75" thickBot="1">
      <c r="A89" s="23" t="s">
        <v>338</v>
      </c>
      <c r="B89" s="119">
        <v>2</v>
      </c>
      <c r="E89" s="1"/>
    </row>
    <row r="90" spans="1:5" ht="11.25">
      <c r="A90" s="169" t="s">
        <v>371</v>
      </c>
      <c r="B90" s="170">
        <v>2</v>
      </c>
      <c r="E90" s="1"/>
    </row>
    <row r="91" spans="1:5" ht="12.75" thickBot="1">
      <c r="A91" s="23" t="s">
        <v>313</v>
      </c>
      <c r="B91" s="117">
        <v>2</v>
      </c>
      <c r="E91" s="1"/>
    </row>
    <row r="92" spans="1:5" ht="11.25">
      <c r="A92" s="169" t="s">
        <v>239</v>
      </c>
      <c r="B92" s="170">
        <v>1.3333333333333333</v>
      </c>
      <c r="E92" s="1"/>
    </row>
    <row r="93" spans="1:5" ht="12.75" thickBot="1">
      <c r="A93" s="40" t="s">
        <v>278</v>
      </c>
      <c r="B93" s="120">
        <v>1</v>
      </c>
      <c r="E93" s="1"/>
    </row>
    <row r="94" spans="1:5" ht="11.25">
      <c r="A94" s="23" t="s">
        <v>269</v>
      </c>
      <c r="B94" s="119">
        <v>1</v>
      </c>
      <c r="E94" s="1"/>
    </row>
    <row r="95" spans="1:5" ht="12.75" thickBot="1">
      <c r="A95" s="23" t="s">
        <v>301</v>
      </c>
      <c r="B95" s="119">
        <v>1</v>
      </c>
      <c r="E95" s="1"/>
    </row>
    <row r="96" spans="1:5" ht="11.25">
      <c r="A96" s="169" t="s">
        <v>389</v>
      </c>
      <c r="B96" s="170">
        <v>1</v>
      </c>
      <c r="E96" s="1"/>
    </row>
    <row r="97" spans="1:5" ht="11.25">
      <c r="A97" s="23" t="s">
        <v>308</v>
      </c>
      <c r="B97" s="119">
        <v>1</v>
      </c>
      <c r="E97" s="1"/>
    </row>
    <row r="98" spans="1:5" ht="12.75" thickBot="1">
      <c r="A98" s="183" t="s">
        <v>464</v>
      </c>
      <c r="B98" s="120">
        <v>0</v>
      </c>
      <c r="E98" s="1"/>
    </row>
    <row r="99" spans="1:5" ht="12.75" thickBot="1">
      <c r="A99" s="166" t="s">
        <v>275</v>
      </c>
      <c r="B99" s="246">
        <v>0</v>
      </c>
      <c r="E99" s="1"/>
    </row>
    <row r="100" spans="1:5" ht="11.25">
      <c r="A100" s="169" t="s">
        <v>409</v>
      </c>
      <c r="B100" s="247">
        <v>0</v>
      </c>
      <c r="E100" s="1"/>
    </row>
    <row r="101" spans="1:5" ht="11.25">
      <c r="A101" s="23" t="s">
        <v>264</v>
      </c>
      <c r="B101" s="119">
        <v>0</v>
      </c>
      <c r="E101" s="1"/>
    </row>
    <row r="102" spans="1:5" ht="12.65" customHeight="1">
      <c r="A102" s="23" t="s">
        <v>279</v>
      </c>
      <c r="B102" s="119">
        <v>0</v>
      </c>
      <c r="E102" s="1"/>
    </row>
    <row r="103" spans="1:5" ht="11.25">
      <c r="A103" s="23"/>
      <c r="B103" s="117"/>
      <c r="E103" s="1"/>
    </row>
    <row r="104" spans="1:5" ht="11.25">
      <c r="A104" s="23"/>
      <c r="B104" s="117"/>
      <c r="E104" s="1"/>
    </row>
    <row r="105" spans="1:5" ht="11.25">
      <c r="A105" s="23"/>
      <c r="B105" s="117"/>
      <c r="E105" s="1"/>
    </row>
    <row r="106" spans="1:5" ht="11.25">
      <c r="A106" s="1"/>
      <c r="B106" s="1"/>
      <c r="E106" s="1"/>
    </row>
    <row r="107" spans="1:5" ht="11.25">
      <c r="A107" s="1"/>
      <c r="B107" s="1"/>
      <c r="E107" s="1"/>
    </row>
    <row r="108" spans="1:5" ht="11.25">
      <c r="A108" s="28"/>
      <c r="B108" s="184"/>
      <c r="E108" s="1"/>
    </row>
    <row r="109" spans="1:5" ht="11.25">
      <c r="A109" s="28"/>
      <c r="B109" s="184"/>
      <c r="E109" s="1"/>
    </row>
    <row r="110" spans="1:5" ht="11.25">
      <c r="A110" s="174"/>
      <c r="B110" s="184"/>
      <c r="E110" s="1"/>
    </row>
  </sheetData>
  <mergeCells count="6">
    <mergeCell ref="C13:D13"/>
    <mergeCell ref="C4:D4"/>
    <mergeCell ref="C7:D7"/>
    <mergeCell ref="I4:J4"/>
    <mergeCell ref="I7:J7"/>
    <mergeCell ref="C10:D10"/>
  </mergeCells>
  <printOptions/>
  <pageMargins left="0.7" right="0.7" top="0.75" bottom="0.75" header="0.3" footer="0.3"/>
  <pageSetup orientation="portrait" paperSize="9"/>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V66"/>
  <sheetViews>
    <sheetView showGridLines="0" workbookViewId="0" topLeftCell="A4">
      <selection activeCell="M43" sqref="M43:N43"/>
    </sheetView>
  </sheetViews>
  <sheetFormatPr defaultColWidth="9.00390625" defaultRowHeight="11.25"/>
  <cols>
    <col min="1" max="1" width="4.625" style="1" customWidth="1"/>
    <col min="2" max="5" width="9.00390625" style="1" customWidth="1"/>
    <col min="6" max="6" width="7.125" style="1" customWidth="1"/>
    <col min="7" max="8" width="9.125" style="1" customWidth="1"/>
    <col min="9" max="9" width="1.75390625" style="1" customWidth="1"/>
    <col min="10" max="11" width="9.125" style="1" customWidth="1"/>
    <col min="12" max="12" width="1.75390625" style="1" customWidth="1"/>
    <col min="13" max="14" width="9.125" style="1" customWidth="1"/>
    <col min="15" max="15" width="3.75390625" style="10" customWidth="1"/>
    <col min="16" max="16384" width="9.00390625" style="10" customWidth="1"/>
  </cols>
  <sheetData>
    <row r="1" spans="1:14" s="12" customFormat="1" ht="11.25">
      <c r="A1" s="17" t="s">
        <v>88</v>
      </c>
      <c r="B1" s="18"/>
      <c r="C1" s="18"/>
      <c r="D1" s="18"/>
      <c r="E1" s="18"/>
      <c r="F1" s="18"/>
      <c r="G1" s="18"/>
      <c r="H1" s="18"/>
      <c r="I1" s="18"/>
      <c r="J1" s="18"/>
      <c r="K1" s="18"/>
      <c r="L1" s="18"/>
      <c r="M1" s="18"/>
      <c r="N1" s="19"/>
    </row>
    <row r="2" spans="1:16" s="12" customFormat="1" ht="11.25">
      <c r="A2" s="20" t="s">
        <v>89</v>
      </c>
      <c r="B2" s="15"/>
      <c r="C2" s="15"/>
      <c r="D2" s="15"/>
      <c r="E2" s="15"/>
      <c r="F2" s="15"/>
      <c r="G2" s="328" t="s">
        <v>26</v>
      </c>
      <c r="H2" s="328"/>
      <c r="I2" s="328"/>
      <c r="J2" s="328"/>
      <c r="K2" s="328"/>
      <c r="L2" s="328"/>
      <c r="M2" s="328"/>
      <c r="N2" s="329"/>
      <c r="P2" s="43" t="s">
        <v>27</v>
      </c>
    </row>
    <row r="3" spans="1:14" ht="11.25">
      <c r="A3" s="45"/>
      <c r="B3" s="2"/>
      <c r="C3" s="2"/>
      <c r="D3" s="2"/>
      <c r="E3" s="2"/>
      <c r="F3" s="16" t="s">
        <v>14</v>
      </c>
      <c r="G3" s="330">
        <v>19</v>
      </c>
      <c r="H3" s="327"/>
      <c r="I3" s="2"/>
      <c r="J3" s="330">
        <v>18</v>
      </c>
      <c r="K3" s="327"/>
      <c r="L3" s="2"/>
      <c r="M3" s="330">
        <v>17</v>
      </c>
      <c r="N3" s="331"/>
    </row>
    <row r="4" spans="1:14" ht="11.25">
      <c r="A4" s="20"/>
      <c r="B4" s="2"/>
      <c r="C4" s="2"/>
      <c r="D4" s="2"/>
      <c r="E4" s="2"/>
      <c r="F4" s="16" t="s">
        <v>15</v>
      </c>
      <c r="G4" s="330" t="s">
        <v>80</v>
      </c>
      <c r="H4" s="327"/>
      <c r="I4" s="2"/>
      <c r="J4" s="330" t="s">
        <v>81</v>
      </c>
      <c r="K4" s="327"/>
      <c r="L4" s="2"/>
      <c r="M4" s="330" t="s">
        <v>82</v>
      </c>
      <c r="N4" s="331"/>
    </row>
    <row r="5" spans="1:14" ht="11.25">
      <c r="A5" s="20"/>
      <c r="B5" s="2"/>
      <c r="C5" s="2"/>
      <c r="D5" s="2"/>
      <c r="E5" s="2"/>
      <c r="F5" s="16" t="s">
        <v>16</v>
      </c>
      <c r="G5" s="321" t="s">
        <v>99</v>
      </c>
      <c r="H5" s="322"/>
      <c r="I5" s="2"/>
      <c r="J5" s="28"/>
      <c r="K5" s="28"/>
      <c r="L5" s="28"/>
      <c r="M5" s="28"/>
      <c r="N5" s="33"/>
    </row>
    <row r="6" spans="1:14" ht="11.25">
      <c r="A6" s="20"/>
      <c r="B6" s="2"/>
      <c r="C6" s="2"/>
      <c r="D6" s="2"/>
      <c r="E6" s="2"/>
      <c r="F6" s="16" t="s">
        <v>17</v>
      </c>
      <c r="G6" s="323" t="s">
        <v>159</v>
      </c>
      <c r="H6" s="323"/>
      <c r="I6" s="2"/>
      <c r="J6" s="28"/>
      <c r="K6" s="28"/>
      <c r="L6" s="28"/>
      <c r="M6" s="28"/>
      <c r="N6" s="33"/>
    </row>
    <row r="7" spans="1:14" ht="11.25">
      <c r="A7" s="20"/>
      <c r="B7" s="2"/>
      <c r="C7" s="2"/>
      <c r="D7" s="2"/>
      <c r="E7" s="2"/>
      <c r="F7" s="16" t="s">
        <v>33</v>
      </c>
      <c r="G7" s="324" t="s">
        <v>101</v>
      </c>
      <c r="H7" s="325"/>
      <c r="I7" s="2"/>
      <c r="J7" s="28"/>
      <c r="K7" s="28"/>
      <c r="L7" s="28"/>
      <c r="M7" s="28"/>
      <c r="N7" s="33"/>
    </row>
    <row r="8" spans="1:14" ht="11.25">
      <c r="A8" s="20"/>
      <c r="B8" s="2"/>
      <c r="C8" s="2"/>
      <c r="D8" s="2"/>
      <c r="E8" s="2"/>
      <c r="F8" s="16" t="s">
        <v>18</v>
      </c>
      <c r="G8" s="326">
        <v>43923</v>
      </c>
      <c r="H8" s="327"/>
      <c r="I8" s="2"/>
      <c r="J8" s="28"/>
      <c r="K8" s="28"/>
      <c r="L8" s="28"/>
      <c r="M8" s="28"/>
      <c r="N8" s="33"/>
    </row>
    <row r="9" spans="1:14" ht="12.75">
      <c r="A9" s="21" t="s">
        <v>2</v>
      </c>
      <c r="B9" s="22"/>
      <c r="C9" s="4"/>
      <c r="D9" s="4"/>
      <c r="E9" s="3"/>
      <c r="F9" s="3"/>
      <c r="G9" s="319"/>
      <c r="H9" s="319"/>
      <c r="I9" s="3"/>
      <c r="J9" s="319"/>
      <c r="K9" s="319"/>
      <c r="L9" s="3"/>
      <c r="M9" s="319"/>
      <c r="N9" s="320"/>
    </row>
    <row r="10" spans="1:15" ht="12.75">
      <c r="A10" s="20"/>
      <c r="B10" s="22" t="s">
        <v>56</v>
      </c>
      <c r="C10" s="4"/>
      <c r="D10" s="4"/>
      <c r="E10" s="3"/>
      <c r="F10" s="29"/>
      <c r="G10" s="58"/>
      <c r="H10" s="58"/>
      <c r="I10" s="5"/>
      <c r="J10" s="58"/>
      <c r="K10" s="58"/>
      <c r="L10" s="5"/>
      <c r="M10" s="58"/>
      <c r="N10" s="59"/>
      <c r="O10" s="11"/>
    </row>
    <row r="11" spans="1:16" ht="11.25">
      <c r="A11" s="20"/>
      <c r="B11" s="22"/>
      <c r="C11" s="6"/>
      <c r="D11" s="6"/>
      <c r="E11" s="7"/>
      <c r="F11" s="30" t="s">
        <v>7</v>
      </c>
      <c r="G11" s="313">
        <v>15237</v>
      </c>
      <c r="H11" s="314"/>
      <c r="I11" s="5"/>
      <c r="J11" s="313">
        <v>16848</v>
      </c>
      <c r="K11" s="314"/>
      <c r="L11" s="5"/>
      <c r="M11" s="313">
        <v>16864</v>
      </c>
      <c r="N11" s="315"/>
      <c r="P11" s="10" t="s">
        <v>28</v>
      </c>
    </row>
    <row r="12" spans="1:16" ht="12.75">
      <c r="A12" s="20"/>
      <c r="B12" s="22"/>
      <c r="C12" s="4"/>
      <c r="D12" s="4"/>
      <c r="E12" s="3"/>
      <c r="F12" s="29" t="s">
        <v>5</v>
      </c>
      <c r="G12" s="316">
        <v>-0.061</v>
      </c>
      <c r="H12" s="317"/>
      <c r="I12" s="5"/>
      <c r="J12" s="316">
        <v>0.045</v>
      </c>
      <c r="K12" s="317"/>
      <c r="L12" s="5"/>
      <c r="M12" s="316">
        <v>-0.103</v>
      </c>
      <c r="N12" s="318"/>
      <c r="O12" s="11"/>
      <c r="P12" s="10" t="s">
        <v>29</v>
      </c>
    </row>
    <row r="13" spans="1:16" ht="12.75">
      <c r="A13" s="20"/>
      <c r="B13" s="22"/>
      <c r="C13" s="4"/>
      <c r="D13" s="4"/>
      <c r="E13" s="3"/>
      <c r="F13" s="29" t="s">
        <v>53</v>
      </c>
      <c r="G13" s="313">
        <v>9</v>
      </c>
      <c r="H13" s="314"/>
      <c r="I13" s="5"/>
      <c r="J13" s="313">
        <v>9</v>
      </c>
      <c r="K13" s="314"/>
      <c r="L13" s="5"/>
      <c r="M13" s="313">
        <v>9</v>
      </c>
      <c r="N13" s="315"/>
      <c r="O13" s="11"/>
      <c r="P13" s="10" t="s">
        <v>71</v>
      </c>
    </row>
    <row r="14" spans="1:16" ht="12.75">
      <c r="A14" s="20"/>
      <c r="B14" s="22"/>
      <c r="C14" s="4"/>
      <c r="D14" s="4"/>
      <c r="E14" s="3"/>
      <c r="F14" s="29" t="s">
        <v>54</v>
      </c>
      <c r="G14" s="313">
        <f>121-18</f>
        <v>103</v>
      </c>
      <c r="H14" s="314"/>
      <c r="I14" s="5"/>
      <c r="J14" s="313">
        <f>118-J15</f>
        <v>97</v>
      </c>
      <c r="K14" s="314"/>
      <c r="L14" s="5"/>
      <c r="M14" s="313">
        <f>110-M15</f>
        <v>91</v>
      </c>
      <c r="N14" s="315"/>
      <c r="O14" s="11"/>
      <c r="P14" s="10" t="s">
        <v>70</v>
      </c>
    </row>
    <row r="15" spans="1:16" ht="12.75">
      <c r="A15" s="20"/>
      <c r="B15" s="22"/>
      <c r="C15" s="4"/>
      <c r="D15" s="4"/>
      <c r="E15" s="3"/>
      <c r="F15" s="29" t="s">
        <v>55</v>
      </c>
      <c r="G15" s="313">
        <v>18</v>
      </c>
      <c r="H15" s="314"/>
      <c r="I15" s="5"/>
      <c r="J15" s="313">
        <v>21</v>
      </c>
      <c r="K15" s="314"/>
      <c r="L15" s="5"/>
      <c r="M15" s="313">
        <v>19</v>
      </c>
      <c r="N15" s="315"/>
      <c r="O15" s="11"/>
      <c r="P15" s="10" t="s">
        <v>69</v>
      </c>
    </row>
    <row r="16" spans="1:16" ht="12.75">
      <c r="A16" s="20"/>
      <c r="B16" s="22"/>
      <c r="C16" s="4"/>
      <c r="D16" s="4"/>
      <c r="E16" s="3"/>
      <c r="F16" s="29" t="s">
        <v>78</v>
      </c>
      <c r="G16" s="313">
        <v>48</v>
      </c>
      <c r="H16" s="314"/>
      <c r="I16" s="5"/>
      <c r="J16" s="313">
        <v>49</v>
      </c>
      <c r="K16" s="314"/>
      <c r="L16" s="5"/>
      <c r="M16" s="313">
        <v>46</v>
      </c>
      <c r="N16" s="315"/>
      <c r="O16" s="11"/>
      <c r="P16" s="10" t="s">
        <v>86</v>
      </c>
    </row>
    <row r="17" spans="1:15" ht="12.75">
      <c r="A17" s="20"/>
      <c r="B17" s="22" t="s">
        <v>57</v>
      </c>
      <c r="C17" s="4"/>
      <c r="D17" s="4"/>
      <c r="E17" s="3"/>
      <c r="F17" s="29"/>
      <c r="G17" s="58"/>
      <c r="H17" s="58"/>
      <c r="I17" s="5"/>
      <c r="J17" s="58"/>
      <c r="K17" s="58"/>
      <c r="L17" s="5"/>
      <c r="M17" s="58"/>
      <c r="N17" s="59"/>
      <c r="O17" s="11"/>
    </row>
    <row r="18" spans="1:16" ht="11.25">
      <c r="A18" s="20"/>
      <c r="B18" s="22"/>
      <c r="C18" s="6"/>
      <c r="D18" s="6"/>
      <c r="E18" s="7"/>
      <c r="F18" s="30" t="s">
        <v>7</v>
      </c>
      <c r="G18" s="313"/>
      <c r="H18" s="314"/>
      <c r="I18" s="5"/>
      <c r="J18" s="313"/>
      <c r="K18" s="314"/>
      <c r="L18" s="5"/>
      <c r="M18" s="313"/>
      <c r="N18" s="315"/>
      <c r="P18" s="10" t="s">
        <v>28</v>
      </c>
    </row>
    <row r="19" spans="1:16" ht="12.75">
      <c r="A19" s="20"/>
      <c r="B19" s="22"/>
      <c r="C19" s="4"/>
      <c r="D19" s="4"/>
      <c r="E19" s="3"/>
      <c r="F19" s="29" t="s">
        <v>5</v>
      </c>
      <c r="G19" s="316"/>
      <c r="H19" s="317"/>
      <c r="I19" s="5"/>
      <c r="J19" s="316"/>
      <c r="K19" s="317"/>
      <c r="L19" s="5"/>
      <c r="M19" s="316"/>
      <c r="N19" s="318"/>
      <c r="O19" s="11"/>
      <c r="P19" s="10" t="s">
        <v>29</v>
      </c>
    </row>
    <row r="20" spans="1:16" ht="12.75">
      <c r="A20" s="20"/>
      <c r="B20" s="22"/>
      <c r="C20" s="4"/>
      <c r="D20" s="4"/>
      <c r="E20" s="3"/>
      <c r="F20" s="29" t="s">
        <v>58</v>
      </c>
      <c r="G20" s="313"/>
      <c r="H20" s="314"/>
      <c r="I20" s="5"/>
      <c r="J20" s="313"/>
      <c r="K20" s="314"/>
      <c r="L20" s="5"/>
      <c r="M20" s="313"/>
      <c r="N20" s="315"/>
      <c r="O20" s="11"/>
      <c r="P20" s="10" t="s">
        <v>71</v>
      </c>
    </row>
    <row r="21" spans="1:16" ht="12.75">
      <c r="A21" s="20"/>
      <c r="B21" s="22"/>
      <c r="C21" s="4"/>
      <c r="D21" s="4"/>
      <c r="E21" s="3"/>
      <c r="F21" s="29" t="s">
        <v>59</v>
      </c>
      <c r="G21" s="313"/>
      <c r="H21" s="314"/>
      <c r="I21" s="5"/>
      <c r="J21" s="313"/>
      <c r="K21" s="314"/>
      <c r="L21" s="5"/>
      <c r="M21" s="313"/>
      <c r="N21" s="315"/>
      <c r="O21" s="11"/>
      <c r="P21" s="10" t="s">
        <v>83</v>
      </c>
    </row>
    <row r="22" spans="1:16" ht="12.75">
      <c r="A22" s="20"/>
      <c r="B22" s="22"/>
      <c r="C22" s="4"/>
      <c r="D22" s="4"/>
      <c r="E22" s="3"/>
      <c r="F22" s="29" t="s">
        <v>78</v>
      </c>
      <c r="G22" s="313"/>
      <c r="H22" s="314"/>
      <c r="I22" s="5"/>
      <c r="J22" s="313"/>
      <c r="K22" s="314"/>
      <c r="L22" s="5"/>
      <c r="M22" s="313"/>
      <c r="N22" s="315"/>
      <c r="O22" s="11"/>
      <c r="P22" s="10" t="s">
        <v>86</v>
      </c>
    </row>
    <row r="23" spans="1:14" ht="11.25">
      <c r="A23" s="20"/>
      <c r="B23" s="4" t="s">
        <v>6</v>
      </c>
      <c r="C23" s="4"/>
      <c r="D23" s="4"/>
      <c r="E23" s="3"/>
      <c r="F23" s="3"/>
      <c r="G23" s="23"/>
      <c r="H23" s="23"/>
      <c r="I23" s="5"/>
      <c r="J23" s="23"/>
      <c r="K23" s="23"/>
      <c r="L23" s="5"/>
      <c r="M23" s="23"/>
      <c r="N23" s="24"/>
    </row>
    <row r="24" spans="1:16" ht="11.25">
      <c r="A24" s="20"/>
      <c r="B24" s="22"/>
      <c r="C24" s="4"/>
      <c r="D24" s="4"/>
      <c r="E24" s="3"/>
      <c r="F24" s="29" t="s">
        <v>20</v>
      </c>
      <c r="G24" s="293">
        <v>0.108</v>
      </c>
      <c r="H24" s="294"/>
      <c r="I24" s="3"/>
      <c r="J24" s="293">
        <v>0.121</v>
      </c>
      <c r="K24" s="294"/>
      <c r="L24" s="3"/>
      <c r="M24" s="293">
        <v>0.103</v>
      </c>
      <c r="N24" s="295"/>
      <c r="P24" s="10" t="s">
        <v>30</v>
      </c>
    </row>
    <row r="25" spans="1:16" ht="11.25">
      <c r="A25" s="20"/>
      <c r="B25" s="22"/>
      <c r="C25" s="4"/>
      <c r="D25" s="4"/>
      <c r="E25" s="3"/>
      <c r="F25" s="29" t="s">
        <v>21</v>
      </c>
      <c r="G25" s="293">
        <v>0.892</v>
      </c>
      <c r="H25" s="294"/>
      <c r="I25" s="3"/>
      <c r="J25" s="293">
        <v>0.879</v>
      </c>
      <c r="K25" s="294"/>
      <c r="L25" s="3"/>
      <c r="M25" s="293">
        <v>0.897</v>
      </c>
      <c r="N25" s="295"/>
      <c r="P25" s="10" t="s">
        <v>31</v>
      </c>
    </row>
    <row r="26" spans="1:14" ht="11.25">
      <c r="A26" s="62" t="s">
        <v>60</v>
      </c>
      <c r="B26" s="22"/>
      <c r="C26" s="4"/>
      <c r="D26" s="4"/>
      <c r="E26" s="3"/>
      <c r="F26" s="29"/>
      <c r="G26" s="60"/>
      <c r="H26" s="60"/>
      <c r="I26" s="5"/>
      <c r="J26" s="60"/>
      <c r="K26" s="60"/>
      <c r="L26" s="5"/>
      <c r="M26" s="60"/>
      <c r="N26" s="61"/>
    </row>
    <row r="27" spans="1:16" ht="11.25">
      <c r="A27" s="20"/>
      <c r="B27" s="22"/>
      <c r="C27" s="4"/>
      <c r="D27" s="4"/>
      <c r="E27" s="3"/>
      <c r="F27" s="29" t="s">
        <v>61</v>
      </c>
      <c r="G27" s="313">
        <f>817539.57-G28+411335.4</f>
        <v>1189682.92</v>
      </c>
      <c r="H27" s="314"/>
      <c r="I27" s="5"/>
      <c r="J27" s="313">
        <f>405516.55-J28+849140.48</f>
        <v>1216995.12</v>
      </c>
      <c r="K27" s="314"/>
      <c r="L27" s="5"/>
      <c r="M27" s="313">
        <f>838394.38-M28+375375.33</f>
        <v>1176429.49</v>
      </c>
      <c r="N27" s="315"/>
      <c r="P27" s="10" t="s">
        <v>91</v>
      </c>
    </row>
    <row r="28" spans="1:16" ht="11.25">
      <c r="A28" s="20"/>
      <c r="B28" s="22"/>
      <c r="C28" s="4"/>
      <c r="D28" s="4"/>
      <c r="E28" s="3"/>
      <c r="F28" s="29" t="s">
        <v>62</v>
      </c>
      <c r="G28" s="313">
        <f>28359.15+10832.9</f>
        <v>39192.05</v>
      </c>
      <c r="H28" s="314"/>
      <c r="I28" s="5"/>
      <c r="J28" s="313">
        <f>10539.89+27122.02</f>
        <v>37661.91</v>
      </c>
      <c r="K28" s="314"/>
      <c r="L28" s="5"/>
      <c r="M28" s="313">
        <f>27032.26+10307.96</f>
        <v>37340.22</v>
      </c>
      <c r="N28" s="315"/>
      <c r="P28" s="10" t="s">
        <v>91</v>
      </c>
    </row>
    <row r="29" spans="1:16" ht="11.25">
      <c r="A29" s="20"/>
      <c r="B29" s="22"/>
      <c r="C29" s="4"/>
      <c r="D29" s="4"/>
      <c r="E29" s="3"/>
      <c r="F29" s="29" t="s">
        <v>63</v>
      </c>
      <c r="G29" s="310">
        <f>124172.44+294743.65</f>
        <v>418916.09</v>
      </c>
      <c r="H29" s="311"/>
      <c r="I29" s="5"/>
      <c r="J29" s="310">
        <f>118463.29+289747.44</f>
        <v>408210.73</v>
      </c>
      <c r="K29" s="311"/>
      <c r="L29" s="5"/>
      <c r="M29" s="310">
        <f>104389.88+286911.32</f>
        <v>391301.2</v>
      </c>
      <c r="N29" s="312"/>
      <c r="P29" s="10" t="s">
        <v>90</v>
      </c>
    </row>
    <row r="30" spans="1:14" ht="11.25">
      <c r="A30" s="20"/>
      <c r="B30" s="22"/>
      <c r="C30" s="4"/>
      <c r="D30" s="4"/>
      <c r="E30" s="3"/>
      <c r="F30" s="29"/>
      <c r="G30" s="73"/>
      <c r="H30" s="74"/>
      <c r="I30" s="5"/>
      <c r="J30" s="73"/>
      <c r="K30" s="74"/>
      <c r="L30" s="5"/>
      <c r="M30" s="73"/>
      <c r="N30" s="75"/>
    </row>
    <row r="31" spans="1:18" ht="11.25">
      <c r="A31" s="20"/>
      <c r="B31" s="4"/>
      <c r="C31" s="4"/>
      <c r="D31" s="4"/>
      <c r="E31" s="3"/>
      <c r="F31" s="63" t="s">
        <v>64</v>
      </c>
      <c r="G31" s="299">
        <f>(SUM(G27:G29))/(G11+G18)</f>
        <v>108.14406116689638</v>
      </c>
      <c r="H31" s="300"/>
      <c r="I31" s="22"/>
      <c r="J31" s="299">
        <f>SUM(J27:K29)/(J11+J18)</f>
        <v>98.69822886989553</v>
      </c>
      <c r="K31" s="300"/>
      <c r="L31" s="22"/>
      <c r="M31" s="299">
        <f>SUM(M27:N29)/(M11+M18)</f>
        <v>95.17735472011385</v>
      </c>
      <c r="N31" s="301"/>
      <c r="O31"/>
      <c r="P31" t="s">
        <v>32</v>
      </c>
      <c r="Q31"/>
      <c r="R31"/>
    </row>
    <row r="32" spans="1:14" ht="11.25">
      <c r="A32" s="21" t="s">
        <v>3</v>
      </c>
      <c r="B32" s="22"/>
      <c r="C32" s="4"/>
      <c r="D32" s="4"/>
      <c r="E32" s="3"/>
      <c r="F32" s="3"/>
      <c r="G32" s="8"/>
      <c r="H32" s="8"/>
      <c r="I32" s="3"/>
      <c r="J32" s="8"/>
      <c r="K32" s="8"/>
      <c r="L32" s="3"/>
      <c r="M32" s="8"/>
      <c r="N32" s="25"/>
    </row>
    <row r="33" spans="1:22" ht="11.25">
      <c r="A33" s="20"/>
      <c r="B33" s="22"/>
      <c r="C33" s="4"/>
      <c r="D33" s="48"/>
      <c r="E33" s="49"/>
      <c r="F33" s="50" t="s">
        <v>43</v>
      </c>
      <c r="G33" s="302">
        <f>6.1+1.9</f>
        <v>8</v>
      </c>
      <c r="H33" s="303"/>
      <c r="I33" s="56"/>
      <c r="J33" s="302">
        <f>5.8+1.9</f>
        <v>7.699999999999999</v>
      </c>
      <c r="K33" s="303"/>
      <c r="L33" s="56"/>
      <c r="M33" s="302">
        <f>6.4+1.8</f>
        <v>8.200000000000001</v>
      </c>
      <c r="N33" s="304"/>
      <c r="O33"/>
      <c r="P33" s="46" t="s">
        <v>47</v>
      </c>
      <c r="Q33" s="47"/>
      <c r="R33" s="47"/>
      <c r="S33" s="46"/>
      <c r="T33" s="46"/>
      <c r="U33" s="46"/>
      <c r="V33" s="46"/>
    </row>
    <row r="34" spans="1:22" ht="11.25">
      <c r="A34" s="20"/>
      <c r="B34" s="22"/>
      <c r="C34" s="4"/>
      <c r="D34" s="48"/>
      <c r="E34" s="49"/>
      <c r="F34" s="50" t="s">
        <v>44</v>
      </c>
      <c r="G34" s="302">
        <f>6/36*45</f>
        <v>7.5</v>
      </c>
      <c r="H34" s="303"/>
      <c r="I34" s="56"/>
      <c r="J34" s="302">
        <f>5.1/36*45</f>
        <v>6.375</v>
      </c>
      <c r="K34" s="303"/>
      <c r="L34" s="56"/>
      <c r="M34" s="302">
        <f>5/36*45</f>
        <v>6.25</v>
      </c>
      <c r="N34" s="304"/>
      <c r="O34"/>
      <c r="P34" s="46" t="s">
        <v>48</v>
      </c>
      <c r="Q34" s="47"/>
      <c r="R34" s="47"/>
      <c r="S34" s="46"/>
      <c r="T34" s="46"/>
      <c r="U34" s="46"/>
      <c r="V34" s="46"/>
    </row>
    <row r="35" spans="1:22" ht="11.25">
      <c r="A35" s="20"/>
      <c r="B35" s="22"/>
      <c r="C35" s="4"/>
      <c r="D35" s="48"/>
      <c r="E35" s="49"/>
      <c r="F35" s="50" t="s">
        <v>45</v>
      </c>
      <c r="G35" s="307">
        <f>6.6/36*45</f>
        <v>8.25</v>
      </c>
      <c r="H35" s="308"/>
      <c r="I35" s="56"/>
      <c r="J35" s="307">
        <f>7.3/36*45</f>
        <v>9.125</v>
      </c>
      <c r="K35" s="308"/>
      <c r="L35" s="56"/>
      <c r="M35" s="307">
        <f>5.7/36*45</f>
        <v>7.125</v>
      </c>
      <c r="N35" s="309"/>
      <c r="O35"/>
      <c r="P35" s="46" t="s">
        <v>50</v>
      </c>
      <c r="Q35" s="47"/>
      <c r="R35" s="47"/>
      <c r="S35" s="46"/>
      <c r="T35" s="46"/>
      <c r="U35" s="46"/>
      <c r="V35" s="46"/>
    </row>
    <row r="36" spans="1:22" ht="11.25">
      <c r="A36" s="20"/>
      <c r="B36" s="22"/>
      <c r="C36" s="4"/>
      <c r="D36" s="48"/>
      <c r="E36" s="49"/>
      <c r="F36" s="50" t="s">
        <v>46</v>
      </c>
      <c r="G36" s="305">
        <v>0</v>
      </c>
      <c r="H36" s="305"/>
      <c r="I36" s="56"/>
      <c r="J36" s="305">
        <v>0</v>
      </c>
      <c r="K36" s="305"/>
      <c r="L36" s="56"/>
      <c r="M36" s="305">
        <v>0</v>
      </c>
      <c r="N36" s="306"/>
      <c r="O36"/>
      <c r="P36" s="46" t="s">
        <v>49</v>
      </c>
      <c r="Q36" s="47"/>
      <c r="R36" s="47"/>
      <c r="S36" s="46"/>
      <c r="T36" s="46"/>
      <c r="U36" s="46"/>
      <c r="V36" s="46"/>
    </row>
    <row r="37" spans="1:18" s="69" customFormat="1" ht="11.25">
      <c r="A37" s="64"/>
      <c r="B37" s="65"/>
      <c r="C37" s="66"/>
      <c r="D37" s="66"/>
      <c r="E37" s="5"/>
      <c r="F37" s="67"/>
      <c r="G37" s="70"/>
      <c r="H37" s="70"/>
      <c r="I37" s="68"/>
      <c r="J37" s="70"/>
      <c r="K37" s="70"/>
      <c r="L37" s="68"/>
      <c r="M37" s="70"/>
      <c r="N37" s="71"/>
      <c r="O37" s="12"/>
      <c r="Q37" s="12"/>
      <c r="R37" s="12"/>
    </row>
    <row r="38" spans="1:22" ht="11.25">
      <c r="A38" s="20"/>
      <c r="B38" s="22"/>
      <c r="C38" s="4"/>
      <c r="D38" s="48"/>
      <c r="E38" s="49"/>
      <c r="F38" s="50" t="s">
        <v>66</v>
      </c>
      <c r="G38" s="305">
        <f>5124+986</f>
        <v>6110</v>
      </c>
      <c r="H38" s="305"/>
      <c r="I38" s="56"/>
      <c r="J38" s="305">
        <f>4757+1225</f>
        <v>5982</v>
      </c>
      <c r="K38" s="305"/>
      <c r="L38" s="56"/>
      <c r="M38" s="305">
        <f>5616+1256</f>
        <v>6872</v>
      </c>
      <c r="N38" s="306"/>
      <c r="O38"/>
      <c r="P38" s="46" t="s">
        <v>72</v>
      </c>
      <c r="Q38" s="47"/>
      <c r="R38" s="47"/>
      <c r="S38" s="46"/>
      <c r="T38" s="46"/>
      <c r="U38" s="46"/>
      <c r="V38" s="46"/>
    </row>
    <row r="39" spans="1:22" ht="11.25">
      <c r="A39" s="20"/>
      <c r="B39" s="22"/>
      <c r="C39" s="4"/>
      <c r="D39" s="48"/>
      <c r="E39" s="49"/>
      <c r="F39" s="50" t="s">
        <v>65</v>
      </c>
      <c r="G39" s="299">
        <v>4328</v>
      </c>
      <c r="H39" s="300"/>
      <c r="I39" s="56"/>
      <c r="J39" s="299">
        <v>4658</v>
      </c>
      <c r="K39" s="300"/>
      <c r="L39" s="56"/>
      <c r="M39" s="299">
        <v>4230</v>
      </c>
      <c r="N39" s="301"/>
      <c r="O39"/>
      <c r="P39" s="46" t="s">
        <v>73</v>
      </c>
      <c r="Q39" s="47"/>
      <c r="R39" s="47"/>
      <c r="S39" s="46"/>
      <c r="T39" s="46"/>
      <c r="U39" s="46"/>
      <c r="V39" s="46"/>
    </row>
    <row r="40" spans="1:22" ht="11.25">
      <c r="A40" s="20"/>
      <c r="B40" s="22"/>
      <c r="C40" s="4"/>
      <c r="D40" s="48"/>
      <c r="E40" s="49"/>
      <c r="F40" s="50" t="s">
        <v>67</v>
      </c>
      <c r="G40" s="302">
        <v>5705</v>
      </c>
      <c r="H40" s="303"/>
      <c r="I40" s="56"/>
      <c r="J40" s="302">
        <v>6257</v>
      </c>
      <c r="K40" s="303"/>
      <c r="L40" s="56"/>
      <c r="M40" s="302">
        <v>6575</v>
      </c>
      <c r="N40" s="304"/>
      <c r="O40"/>
      <c r="P40" s="46" t="s">
        <v>75</v>
      </c>
      <c r="Q40" s="47"/>
      <c r="R40" s="47"/>
      <c r="S40" s="46"/>
      <c r="T40" s="46"/>
      <c r="U40" s="46"/>
      <c r="V40" s="46"/>
    </row>
    <row r="41" spans="1:22" ht="11.25">
      <c r="A41" s="20"/>
      <c r="B41" s="22"/>
      <c r="C41" s="4"/>
      <c r="D41" s="48"/>
      <c r="E41" s="49"/>
      <c r="F41" s="50" t="s">
        <v>68</v>
      </c>
      <c r="G41" s="302">
        <v>0</v>
      </c>
      <c r="H41" s="303"/>
      <c r="I41" s="56"/>
      <c r="J41" s="302">
        <v>0</v>
      </c>
      <c r="K41" s="303"/>
      <c r="L41" s="56"/>
      <c r="M41" s="302">
        <v>0</v>
      </c>
      <c r="N41" s="304"/>
      <c r="O41"/>
      <c r="P41" s="46" t="s">
        <v>74</v>
      </c>
      <c r="Q41" s="47"/>
      <c r="R41" s="47"/>
      <c r="S41" s="46"/>
      <c r="T41" s="46"/>
      <c r="U41" s="46"/>
      <c r="V41" s="46"/>
    </row>
    <row r="42" spans="1:18" ht="11.25">
      <c r="A42" s="20"/>
      <c r="B42" s="4"/>
      <c r="C42" s="4"/>
      <c r="D42" s="4"/>
      <c r="E42" s="3"/>
      <c r="F42" s="3"/>
      <c r="G42" s="9"/>
      <c r="H42" s="9"/>
      <c r="I42" s="22"/>
      <c r="J42" s="9"/>
      <c r="K42" s="9"/>
      <c r="L42" s="22"/>
      <c r="M42" s="9"/>
      <c r="N42" s="26"/>
      <c r="O42"/>
      <c r="P42"/>
      <c r="Q42"/>
      <c r="R42"/>
    </row>
    <row r="43" spans="1:18" ht="11.25">
      <c r="A43" s="20"/>
      <c r="B43" s="22"/>
      <c r="C43" s="4"/>
      <c r="D43" s="4"/>
      <c r="E43" s="3"/>
      <c r="F43" s="29" t="s">
        <v>22</v>
      </c>
      <c r="G43" s="302">
        <f>+(G11+G18)/(G33+G34)</f>
        <v>983.0322580645161</v>
      </c>
      <c r="H43" s="303"/>
      <c r="I43" s="22"/>
      <c r="J43" s="302">
        <f>+(J11+J18)/(J33+J34)</f>
        <v>1197.0159857904086</v>
      </c>
      <c r="K43" s="303"/>
      <c r="L43" s="22"/>
      <c r="M43" s="302">
        <f>+(M11+M18)/(M33+M34)</f>
        <v>1167.0588235294117</v>
      </c>
      <c r="N43" s="303"/>
      <c r="O43"/>
      <c r="P43" t="s">
        <v>32</v>
      </c>
      <c r="Q43"/>
      <c r="R43"/>
    </row>
    <row r="44" spans="1:18" ht="11.25">
      <c r="A44" s="20"/>
      <c r="B44" s="22"/>
      <c r="C44" s="4"/>
      <c r="D44" s="4"/>
      <c r="E44" s="3"/>
      <c r="F44" s="29" t="s">
        <v>216</v>
      </c>
      <c r="G44" s="332">
        <f>(G11+G18)/SUM(G33:H36)</f>
        <v>641.5578947368421</v>
      </c>
      <c r="H44" s="332"/>
      <c r="I44" s="22"/>
      <c r="J44" s="332">
        <f>(J11+J18)/SUM(J33:K36)</f>
        <v>726.2068965517242</v>
      </c>
      <c r="K44" s="332"/>
      <c r="L44" s="22"/>
      <c r="M44" s="332">
        <f>(M11+M18)/SUM(M33:N36)</f>
        <v>781.6454229432212</v>
      </c>
      <c r="N44" s="332"/>
      <c r="O44"/>
      <c r="P44"/>
      <c r="Q44"/>
      <c r="R44"/>
    </row>
    <row r="45" spans="1:17" ht="11.25">
      <c r="A45" s="20"/>
      <c r="B45" s="4"/>
      <c r="C45" s="4"/>
      <c r="D45" s="4"/>
      <c r="E45" s="3"/>
      <c r="F45" s="3"/>
      <c r="G45" s="34" t="s">
        <v>24</v>
      </c>
      <c r="H45" s="34" t="s">
        <v>23</v>
      </c>
      <c r="I45" s="28"/>
      <c r="J45" s="34" t="s">
        <v>24</v>
      </c>
      <c r="K45" s="34" t="s">
        <v>23</v>
      </c>
      <c r="L45" s="28"/>
      <c r="M45" s="34" t="s">
        <v>24</v>
      </c>
      <c r="N45" s="35" t="s">
        <v>23</v>
      </c>
      <c r="O45" s="14"/>
      <c r="P45" s="13"/>
      <c r="Q45" s="31"/>
    </row>
    <row r="46" spans="1:22" ht="11.25">
      <c r="A46" s="20"/>
      <c r="B46" s="4"/>
      <c r="C46" s="4"/>
      <c r="D46" s="52"/>
      <c r="E46" s="53"/>
      <c r="F46" s="54" t="s">
        <v>25</v>
      </c>
      <c r="G46" s="76">
        <v>11.5</v>
      </c>
      <c r="H46" s="32">
        <f>G46/(G46+G47+G48+G49)</f>
        <v>0.7348242811501597</v>
      </c>
      <c r="I46" s="28"/>
      <c r="J46" s="76">
        <v>11.5</v>
      </c>
      <c r="K46" s="32">
        <f>J46/(J46+J47+J48+J49)</f>
        <v>0.7348242811501597</v>
      </c>
      <c r="L46" s="28"/>
      <c r="M46" s="76">
        <v>11.5</v>
      </c>
      <c r="N46" s="36">
        <f>M46/(M46+M47+M48+M49)</f>
        <v>0.7348242811501597</v>
      </c>
      <c r="O46" s="14"/>
      <c r="P46" s="55" t="s">
        <v>84</v>
      </c>
      <c r="Q46" s="51"/>
      <c r="R46" s="55"/>
      <c r="S46" s="55"/>
      <c r="T46" s="55"/>
      <c r="U46" s="55"/>
      <c r="V46" s="55"/>
    </row>
    <row r="47" spans="1:22" ht="11.25">
      <c r="A47" s="20"/>
      <c r="B47" s="4"/>
      <c r="C47" s="4"/>
      <c r="D47" s="52"/>
      <c r="E47" s="53"/>
      <c r="F47" s="54" t="s">
        <v>13</v>
      </c>
      <c r="G47" s="76">
        <v>4</v>
      </c>
      <c r="H47" s="32">
        <f>G47/(G46+G47+G48+G49)</f>
        <v>0.25559105431309903</v>
      </c>
      <c r="I47" s="28"/>
      <c r="J47" s="76">
        <v>4</v>
      </c>
      <c r="K47" s="32">
        <f>J47/(J46+J47+J48+J49)</f>
        <v>0.25559105431309903</v>
      </c>
      <c r="L47" s="28"/>
      <c r="M47" s="76">
        <v>4</v>
      </c>
      <c r="N47" s="36">
        <f>M47/(M46+M47+M48+M49)</f>
        <v>0.25559105431309903</v>
      </c>
      <c r="O47" s="14"/>
      <c r="P47" s="55" t="s">
        <v>84</v>
      </c>
      <c r="Q47" s="51"/>
      <c r="R47" s="55"/>
      <c r="S47" s="55"/>
      <c r="T47" s="55"/>
      <c r="U47" s="55"/>
      <c r="V47" s="55"/>
    </row>
    <row r="48" spans="1:22" ht="11.25">
      <c r="A48" s="20"/>
      <c r="B48" s="4"/>
      <c r="C48" s="4"/>
      <c r="D48" s="52"/>
      <c r="E48" s="53"/>
      <c r="F48" s="54" t="s">
        <v>51</v>
      </c>
      <c r="G48" s="76">
        <v>0.15</v>
      </c>
      <c r="H48" s="32">
        <f>G48/(G46+G47+G48+G49)</f>
        <v>0.009584664536741214</v>
      </c>
      <c r="I48" s="28"/>
      <c r="J48" s="76">
        <v>0.15</v>
      </c>
      <c r="K48" s="32">
        <f>J48/(J46+J47+J48+J49)</f>
        <v>0.009584664536741214</v>
      </c>
      <c r="L48" s="28"/>
      <c r="M48" s="76">
        <v>0.15</v>
      </c>
      <c r="N48" s="36">
        <f>M48/(M46+M47+M48+M49)</f>
        <v>0.009584664536741214</v>
      </c>
      <c r="O48" s="14"/>
      <c r="P48" s="55" t="s">
        <v>85</v>
      </c>
      <c r="Q48" s="51"/>
      <c r="R48" s="55"/>
      <c r="S48" s="55"/>
      <c r="T48" s="55"/>
      <c r="U48" s="55"/>
      <c r="V48" s="55"/>
    </row>
    <row r="49" spans="1:22" ht="11.25">
      <c r="A49" s="20"/>
      <c r="B49" s="4"/>
      <c r="C49" s="4"/>
      <c r="D49" s="52"/>
      <c r="E49" s="53"/>
      <c r="F49" s="54" t="s">
        <v>52</v>
      </c>
      <c r="G49" s="76">
        <v>0</v>
      </c>
      <c r="H49" s="32">
        <f>G49/(G46+G47+G48+G49)</f>
        <v>0</v>
      </c>
      <c r="I49" s="28"/>
      <c r="J49" s="76">
        <v>0</v>
      </c>
      <c r="K49" s="32">
        <f>J49/(J46+J47+J48+J49)</f>
        <v>0</v>
      </c>
      <c r="L49" s="28"/>
      <c r="M49" s="76">
        <v>0</v>
      </c>
      <c r="N49" s="36">
        <f>M49/(M46+M47+M48+M49)</f>
        <v>0</v>
      </c>
      <c r="O49" s="14"/>
      <c r="P49" s="55" t="s">
        <v>85</v>
      </c>
      <c r="Q49" s="51"/>
      <c r="R49" s="55"/>
      <c r="S49" s="55"/>
      <c r="T49" s="55"/>
      <c r="U49" s="55"/>
      <c r="V49" s="55"/>
    </row>
    <row r="50" spans="1:14" ht="11.25">
      <c r="A50" s="21" t="s">
        <v>4</v>
      </c>
      <c r="B50" s="22"/>
      <c r="C50" s="4"/>
      <c r="D50" s="4"/>
      <c r="E50" s="3"/>
      <c r="F50" s="3"/>
      <c r="G50" s="8"/>
      <c r="H50" s="8"/>
      <c r="I50" s="3"/>
      <c r="J50" s="8"/>
      <c r="K50" s="8"/>
      <c r="L50" s="3"/>
      <c r="M50" s="8"/>
      <c r="N50" s="25"/>
    </row>
    <row r="51" spans="1:16" ht="11.25">
      <c r="A51" s="21"/>
      <c r="B51" s="22"/>
      <c r="C51" s="4"/>
      <c r="D51" s="4"/>
      <c r="E51" s="3"/>
      <c r="F51" s="63" t="s">
        <v>77</v>
      </c>
      <c r="G51" s="293">
        <v>0.921</v>
      </c>
      <c r="H51" s="294"/>
      <c r="I51" s="72"/>
      <c r="J51" s="293">
        <v>0.931</v>
      </c>
      <c r="K51" s="294"/>
      <c r="L51" s="72"/>
      <c r="M51" s="293">
        <v>0.917</v>
      </c>
      <c r="N51" s="295"/>
      <c r="P51" s="10" t="s">
        <v>87</v>
      </c>
    </row>
    <row r="52" spans="1:16" ht="11.25">
      <c r="A52" s="21"/>
      <c r="B52" s="22"/>
      <c r="C52" s="4"/>
      <c r="D52" s="4"/>
      <c r="E52" s="3"/>
      <c r="F52" s="63" t="s">
        <v>76</v>
      </c>
      <c r="G52" s="293">
        <v>0.117</v>
      </c>
      <c r="H52" s="294"/>
      <c r="I52" s="72"/>
      <c r="J52" s="293">
        <v>0.102</v>
      </c>
      <c r="K52" s="294"/>
      <c r="L52" s="72"/>
      <c r="M52" s="293">
        <v>0.112</v>
      </c>
      <c r="N52" s="295"/>
      <c r="P52" s="10" t="s">
        <v>79</v>
      </c>
    </row>
    <row r="53" spans="1:16" ht="11" customHeight="1">
      <c r="A53" s="20"/>
      <c r="B53" s="23"/>
      <c r="C53" s="4"/>
      <c r="D53" s="4"/>
      <c r="E53" s="3"/>
      <c r="F53" s="29" t="s">
        <v>10</v>
      </c>
      <c r="G53" s="296">
        <v>13</v>
      </c>
      <c r="H53" s="297"/>
      <c r="I53" s="3"/>
      <c r="J53" s="296">
        <v>15</v>
      </c>
      <c r="K53" s="297"/>
      <c r="L53" s="3"/>
      <c r="M53" s="296">
        <v>17</v>
      </c>
      <c r="N53" s="298"/>
      <c r="P53" s="10" t="s">
        <v>34</v>
      </c>
    </row>
    <row r="54" spans="1:16" ht="11.25">
      <c r="A54" s="20"/>
      <c r="B54" s="23"/>
      <c r="C54" s="4"/>
      <c r="D54" s="4"/>
      <c r="E54" s="3"/>
      <c r="F54" s="29" t="s">
        <v>8</v>
      </c>
      <c r="G54" s="296">
        <v>18</v>
      </c>
      <c r="H54" s="297"/>
      <c r="I54" s="14"/>
      <c r="J54" s="296">
        <v>18</v>
      </c>
      <c r="K54" s="297"/>
      <c r="L54" s="14"/>
      <c r="M54" s="296">
        <v>20</v>
      </c>
      <c r="N54" s="298"/>
      <c r="P54" s="10" t="s">
        <v>36</v>
      </c>
    </row>
    <row r="55" spans="1:16" ht="11.25">
      <c r="A55" s="20"/>
      <c r="B55" s="23"/>
      <c r="C55" s="4"/>
      <c r="D55" s="4"/>
      <c r="E55" s="3"/>
      <c r="F55" s="42" t="s">
        <v>11</v>
      </c>
      <c r="G55" s="296">
        <v>15.6</v>
      </c>
      <c r="H55" s="297"/>
      <c r="I55" s="3"/>
      <c r="J55" s="296">
        <v>17</v>
      </c>
      <c r="K55" s="297"/>
      <c r="L55" s="3"/>
      <c r="M55" s="296">
        <v>16</v>
      </c>
      <c r="N55" s="298"/>
      <c r="P55" s="10" t="s">
        <v>42</v>
      </c>
    </row>
    <row r="56" spans="1:19" ht="11.25">
      <c r="A56" s="20"/>
      <c r="B56" s="22"/>
      <c r="C56" s="4"/>
      <c r="D56" s="4"/>
      <c r="E56" s="3"/>
      <c r="F56" s="29" t="s">
        <v>9</v>
      </c>
      <c r="G56" s="293">
        <v>0.73</v>
      </c>
      <c r="H56" s="294"/>
      <c r="I56" s="3"/>
      <c r="J56" s="293">
        <v>0.75</v>
      </c>
      <c r="K56" s="294"/>
      <c r="L56" s="3"/>
      <c r="M56" s="293">
        <v>0.83</v>
      </c>
      <c r="N56" s="295"/>
      <c r="P56" s="10" t="s">
        <v>37</v>
      </c>
      <c r="Q56"/>
      <c r="R56"/>
      <c r="S56"/>
    </row>
    <row r="57" spans="1:19" ht="11.25">
      <c r="A57" s="20"/>
      <c r="B57" s="22"/>
      <c r="C57" s="4"/>
      <c r="D57" s="4"/>
      <c r="E57" s="27"/>
      <c r="F57" s="29" t="s">
        <v>12</v>
      </c>
      <c r="G57" s="296">
        <v>0</v>
      </c>
      <c r="H57" s="297"/>
      <c r="I57" s="28"/>
      <c r="J57" s="296">
        <v>1</v>
      </c>
      <c r="K57" s="297"/>
      <c r="L57" s="28"/>
      <c r="M57" s="296">
        <v>1</v>
      </c>
      <c r="N57" s="298"/>
      <c r="P57" s="10" t="s">
        <v>38</v>
      </c>
      <c r="Q57"/>
      <c r="R57"/>
      <c r="S57"/>
    </row>
    <row r="58" spans="1:19" ht="11.25">
      <c r="A58" s="20"/>
      <c r="B58" s="22"/>
      <c r="C58" s="4"/>
      <c r="D58" s="4"/>
      <c r="E58" s="3"/>
      <c r="F58" s="29" t="s">
        <v>19</v>
      </c>
      <c r="G58" s="293">
        <v>0.148</v>
      </c>
      <c r="H58" s="294"/>
      <c r="I58" s="28"/>
      <c r="J58" s="293">
        <v>0.177</v>
      </c>
      <c r="K58" s="294"/>
      <c r="L58" s="28"/>
      <c r="M58" s="293">
        <v>0.125</v>
      </c>
      <c r="N58" s="295"/>
      <c r="P58" s="10" t="s">
        <v>39</v>
      </c>
      <c r="Q58"/>
      <c r="R58"/>
      <c r="S58"/>
    </row>
    <row r="59" spans="1:19" ht="11.25">
      <c r="A59" s="20"/>
      <c r="B59" s="22"/>
      <c r="C59" s="4"/>
      <c r="D59" s="4"/>
      <c r="E59" s="3"/>
      <c r="F59" s="29" t="s">
        <v>0</v>
      </c>
      <c r="G59" s="293">
        <v>0.027</v>
      </c>
      <c r="H59" s="294"/>
      <c r="I59" s="28"/>
      <c r="J59" s="293">
        <v>0.068</v>
      </c>
      <c r="K59" s="294"/>
      <c r="L59" s="28"/>
      <c r="M59" s="293">
        <v>0.021</v>
      </c>
      <c r="N59" s="295"/>
      <c r="P59" s="10" t="s">
        <v>40</v>
      </c>
      <c r="Q59"/>
      <c r="R59"/>
      <c r="S59"/>
    </row>
    <row r="60" spans="1:14" ht="11.25">
      <c r="A60" s="21" t="s">
        <v>1</v>
      </c>
      <c r="B60" s="28"/>
      <c r="C60" s="28"/>
      <c r="D60" s="28"/>
      <c r="E60" s="28"/>
      <c r="F60" s="28"/>
      <c r="G60" s="28"/>
      <c r="H60" s="28"/>
      <c r="I60" s="28"/>
      <c r="J60" s="28"/>
      <c r="K60" s="28"/>
      <c r="L60" s="28"/>
      <c r="M60" s="28"/>
      <c r="N60" s="33"/>
    </row>
    <row r="61" spans="1:16" ht="11.25">
      <c r="A61" s="37" t="s">
        <v>158</v>
      </c>
      <c r="B61" s="28"/>
      <c r="C61" s="28"/>
      <c r="D61" s="28"/>
      <c r="E61" s="28"/>
      <c r="F61" s="28"/>
      <c r="G61" s="28"/>
      <c r="H61" s="28"/>
      <c r="I61" s="28"/>
      <c r="J61" s="28"/>
      <c r="K61" s="28"/>
      <c r="L61" s="28"/>
      <c r="M61" s="28"/>
      <c r="N61" s="33"/>
      <c r="P61" t="s">
        <v>35</v>
      </c>
    </row>
    <row r="62" spans="1:14" ht="11.25">
      <c r="A62" s="38" t="s">
        <v>157</v>
      </c>
      <c r="B62" s="23"/>
      <c r="C62" s="23"/>
      <c r="D62" s="23"/>
      <c r="E62" s="23"/>
      <c r="F62" s="23"/>
      <c r="G62" s="23"/>
      <c r="H62" s="23"/>
      <c r="I62" s="23"/>
      <c r="J62" s="23"/>
      <c r="K62" s="23"/>
      <c r="L62" s="23"/>
      <c r="M62" s="23"/>
      <c r="N62" s="24"/>
    </row>
    <row r="63" spans="1:14" ht="11.25">
      <c r="A63" s="38"/>
      <c r="B63" s="23"/>
      <c r="C63" s="23"/>
      <c r="D63" s="23"/>
      <c r="E63" s="23"/>
      <c r="F63" s="23"/>
      <c r="G63" s="23"/>
      <c r="H63" s="23"/>
      <c r="I63" s="23"/>
      <c r="J63" s="23"/>
      <c r="K63" s="23"/>
      <c r="L63" s="23"/>
      <c r="M63" s="23"/>
      <c r="N63" s="24"/>
    </row>
    <row r="64" spans="1:16" ht="11.25">
      <c r="A64" s="38"/>
      <c r="B64" s="23"/>
      <c r="C64" s="23"/>
      <c r="D64" s="23"/>
      <c r="E64" s="23"/>
      <c r="F64" s="23"/>
      <c r="G64" s="23"/>
      <c r="H64" s="23"/>
      <c r="I64" s="23"/>
      <c r="J64" s="23"/>
      <c r="K64" s="23"/>
      <c r="L64" s="23"/>
      <c r="M64" s="23"/>
      <c r="N64" s="24"/>
      <c r="P64" s="44" t="s">
        <v>41</v>
      </c>
    </row>
    <row r="65" spans="1:14" ht="11.25">
      <c r="A65" s="38"/>
      <c r="B65" s="23"/>
      <c r="C65" s="23"/>
      <c r="D65" s="23"/>
      <c r="E65" s="23"/>
      <c r="F65" s="23"/>
      <c r="G65" s="23"/>
      <c r="H65" s="23"/>
      <c r="I65" s="23"/>
      <c r="J65" s="23"/>
      <c r="K65" s="23"/>
      <c r="L65" s="23"/>
      <c r="M65" s="23"/>
      <c r="N65" s="24"/>
    </row>
    <row r="66" spans="1:14" ht="12.75" thickBot="1">
      <c r="A66" s="39"/>
      <c r="B66" s="40"/>
      <c r="C66" s="40"/>
      <c r="D66" s="40"/>
      <c r="E66" s="40"/>
      <c r="F66" s="40"/>
      <c r="G66" s="40"/>
      <c r="H66" s="40"/>
      <c r="I66" s="40"/>
      <c r="J66" s="40"/>
      <c r="K66" s="40"/>
      <c r="L66" s="40"/>
      <c r="M66" s="40"/>
      <c r="N66" s="41"/>
    </row>
  </sheetData>
  <mergeCells count="122">
    <mergeCell ref="G57:H57"/>
    <mergeCell ref="J57:K57"/>
    <mergeCell ref="M57:N57"/>
    <mergeCell ref="G58:H58"/>
    <mergeCell ref="J58:K58"/>
    <mergeCell ref="M58:N58"/>
    <mergeCell ref="G59:H59"/>
    <mergeCell ref="J59:K59"/>
    <mergeCell ref="M59:N59"/>
    <mergeCell ref="G54:H54"/>
    <mergeCell ref="J54:K54"/>
    <mergeCell ref="M54:N54"/>
    <mergeCell ref="G55:H55"/>
    <mergeCell ref="J55:K55"/>
    <mergeCell ref="M55:N55"/>
    <mergeCell ref="G56:H56"/>
    <mergeCell ref="J56:K56"/>
    <mergeCell ref="M56:N56"/>
    <mergeCell ref="M39:N39"/>
    <mergeCell ref="G40:H40"/>
    <mergeCell ref="J40:K40"/>
    <mergeCell ref="M40:N40"/>
    <mergeCell ref="G52:H52"/>
    <mergeCell ref="J52:K52"/>
    <mergeCell ref="M52:N52"/>
    <mergeCell ref="G53:H53"/>
    <mergeCell ref="J53:K53"/>
    <mergeCell ref="M53:N53"/>
    <mergeCell ref="J44:K44"/>
    <mergeCell ref="M44:N44"/>
    <mergeCell ref="G34:H34"/>
    <mergeCell ref="J34:K34"/>
    <mergeCell ref="M34:N34"/>
    <mergeCell ref="G35:H35"/>
    <mergeCell ref="J35:K35"/>
    <mergeCell ref="M35:N35"/>
    <mergeCell ref="G51:H51"/>
    <mergeCell ref="J51:K51"/>
    <mergeCell ref="M51:N51"/>
    <mergeCell ref="G41:H41"/>
    <mergeCell ref="J41:K41"/>
    <mergeCell ref="M41:N41"/>
    <mergeCell ref="G43:H43"/>
    <mergeCell ref="J43:K43"/>
    <mergeCell ref="M43:N43"/>
    <mergeCell ref="G44:H44"/>
    <mergeCell ref="G36:H36"/>
    <mergeCell ref="J36:K36"/>
    <mergeCell ref="M36:N36"/>
    <mergeCell ref="G38:H38"/>
    <mergeCell ref="J38:K38"/>
    <mergeCell ref="M38:N38"/>
    <mergeCell ref="G39:H39"/>
    <mergeCell ref="J39:K39"/>
    <mergeCell ref="G28:H28"/>
    <mergeCell ref="J28:K28"/>
    <mergeCell ref="M28:N28"/>
    <mergeCell ref="G29:H29"/>
    <mergeCell ref="J29:K29"/>
    <mergeCell ref="M29:N29"/>
    <mergeCell ref="G33:H33"/>
    <mergeCell ref="J33:K33"/>
    <mergeCell ref="M33:N33"/>
    <mergeCell ref="G31:H31"/>
    <mergeCell ref="J31:K31"/>
    <mergeCell ref="M31:N31"/>
    <mergeCell ref="G24:H24"/>
    <mergeCell ref="J24:K24"/>
    <mergeCell ref="M24:N24"/>
    <mergeCell ref="G25:H25"/>
    <mergeCell ref="J25:K25"/>
    <mergeCell ref="M25:N25"/>
    <mergeCell ref="G27:H27"/>
    <mergeCell ref="J27:K27"/>
    <mergeCell ref="M27:N27"/>
    <mergeCell ref="G22:H22"/>
    <mergeCell ref="J22:K22"/>
    <mergeCell ref="M22:N22"/>
    <mergeCell ref="G18:H18"/>
    <mergeCell ref="J18:K18"/>
    <mergeCell ref="M18:N18"/>
    <mergeCell ref="G19:H19"/>
    <mergeCell ref="J19:K19"/>
    <mergeCell ref="M19:N19"/>
    <mergeCell ref="G20:H20"/>
    <mergeCell ref="J20:K20"/>
    <mergeCell ref="M20:N20"/>
    <mergeCell ref="G21:H21"/>
    <mergeCell ref="J21:K21"/>
    <mergeCell ref="M21:N21"/>
    <mergeCell ref="M16:N16"/>
    <mergeCell ref="G13:H13"/>
    <mergeCell ref="J13:K13"/>
    <mergeCell ref="M13:N13"/>
    <mergeCell ref="G14:H14"/>
    <mergeCell ref="J14:K14"/>
    <mergeCell ref="M14:N14"/>
    <mergeCell ref="G15:H15"/>
    <mergeCell ref="J15:K15"/>
    <mergeCell ref="M15:N15"/>
    <mergeCell ref="G16:H16"/>
    <mergeCell ref="J16:K16"/>
    <mergeCell ref="G2:N2"/>
    <mergeCell ref="G3:H3"/>
    <mergeCell ref="J3:K3"/>
    <mergeCell ref="M3:N3"/>
    <mergeCell ref="G4:H4"/>
    <mergeCell ref="J4:K4"/>
    <mergeCell ref="M4:N4"/>
    <mergeCell ref="G5:H5"/>
    <mergeCell ref="G6:H6"/>
    <mergeCell ref="G7:H7"/>
    <mergeCell ref="G8:H8"/>
    <mergeCell ref="G9:H9"/>
    <mergeCell ref="J9:K9"/>
    <mergeCell ref="M9:N9"/>
    <mergeCell ref="G11:H11"/>
    <mergeCell ref="J11:K11"/>
    <mergeCell ref="M11:N11"/>
    <mergeCell ref="G12:H12"/>
    <mergeCell ref="J12:K12"/>
    <mergeCell ref="M12:N12"/>
  </mergeCells>
  <printOptions/>
  <pageMargins left="0.25" right="0.25" top="0.75" bottom="0.75" header="0.3" footer="0.3"/>
  <pageSetup fitToHeight="1" fitToWidth="1" horizontalDpi="1200" verticalDpi="1200" orientation="portrait" scale="94" r:id="rId3"/>
  <colBreaks count="1" manualBreakCount="1">
    <brk id="14" max="16383" man="1"/>
  </colBreaks>
  <legacyDrawing r:id="rId2"/>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V66"/>
  <sheetViews>
    <sheetView showGridLines="0" workbookViewId="0" topLeftCell="A10">
      <selection activeCell="M43" sqref="M43:N43"/>
    </sheetView>
  </sheetViews>
  <sheetFormatPr defaultColWidth="9.00390625" defaultRowHeight="11.25"/>
  <cols>
    <col min="1" max="1" width="4.625" style="1" customWidth="1"/>
    <col min="2" max="5" width="9.00390625" style="1" customWidth="1"/>
    <col min="6" max="6" width="7.125" style="1" customWidth="1"/>
    <col min="7" max="8" width="9.125" style="1" customWidth="1"/>
    <col min="9" max="9" width="1.75390625" style="1" customWidth="1"/>
    <col min="10" max="11" width="9.125" style="1" customWidth="1"/>
    <col min="12" max="12" width="1.75390625" style="1" customWidth="1"/>
    <col min="13" max="14" width="9.125" style="1" customWidth="1"/>
    <col min="15" max="15" width="3.75390625" style="10" customWidth="1"/>
    <col min="16" max="16384" width="9.00390625" style="10" customWidth="1"/>
  </cols>
  <sheetData>
    <row r="1" spans="1:14" s="12" customFormat="1" ht="11.25">
      <c r="A1" s="17" t="s">
        <v>88</v>
      </c>
      <c r="B1" s="18"/>
      <c r="C1" s="18"/>
      <c r="D1" s="18"/>
      <c r="E1" s="18"/>
      <c r="F1" s="18"/>
      <c r="G1" s="18"/>
      <c r="H1" s="18"/>
      <c r="I1" s="18"/>
      <c r="J1" s="18"/>
      <c r="K1" s="18"/>
      <c r="L1" s="18"/>
      <c r="M1" s="18"/>
      <c r="N1" s="19"/>
    </row>
    <row r="2" spans="1:16" s="12" customFormat="1" ht="11.25">
      <c r="A2" s="20" t="s">
        <v>89</v>
      </c>
      <c r="B2" s="15"/>
      <c r="C2" s="15"/>
      <c r="D2" s="15"/>
      <c r="E2" s="15"/>
      <c r="F2" s="15"/>
      <c r="G2" s="328" t="s">
        <v>26</v>
      </c>
      <c r="H2" s="328"/>
      <c r="I2" s="328"/>
      <c r="J2" s="328"/>
      <c r="K2" s="328"/>
      <c r="L2" s="328"/>
      <c r="M2" s="328"/>
      <c r="N2" s="329"/>
      <c r="P2" s="43" t="s">
        <v>27</v>
      </c>
    </row>
    <row r="3" spans="1:14" ht="11.25">
      <c r="A3" s="45"/>
      <c r="B3" s="2"/>
      <c r="C3" s="2"/>
      <c r="D3" s="2"/>
      <c r="E3" s="2"/>
      <c r="F3" s="16" t="s">
        <v>14</v>
      </c>
      <c r="G3" s="330">
        <v>19</v>
      </c>
      <c r="H3" s="327"/>
      <c r="I3" s="2"/>
      <c r="J3" s="330">
        <v>18</v>
      </c>
      <c r="K3" s="327"/>
      <c r="L3" s="2"/>
      <c r="M3" s="330">
        <v>17</v>
      </c>
      <c r="N3" s="331"/>
    </row>
    <row r="4" spans="1:14" ht="11.25">
      <c r="A4" s="20"/>
      <c r="B4" s="2"/>
      <c r="C4" s="2"/>
      <c r="D4" s="2"/>
      <c r="E4" s="2"/>
      <c r="F4" s="16" t="s">
        <v>15</v>
      </c>
      <c r="G4" s="330" t="s">
        <v>80</v>
      </c>
      <c r="H4" s="327"/>
      <c r="I4" s="2"/>
      <c r="J4" s="330" t="s">
        <v>81</v>
      </c>
      <c r="K4" s="327"/>
      <c r="L4" s="2"/>
      <c r="M4" s="330" t="s">
        <v>82</v>
      </c>
      <c r="N4" s="331"/>
    </row>
    <row r="5" spans="1:14" ht="11.25">
      <c r="A5" s="20"/>
      <c r="B5" s="2"/>
      <c r="C5" s="2"/>
      <c r="D5" s="2"/>
      <c r="E5" s="2"/>
      <c r="F5" s="16" t="s">
        <v>16</v>
      </c>
      <c r="G5" s="321" t="s">
        <v>99</v>
      </c>
      <c r="H5" s="322"/>
      <c r="I5" s="2"/>
      <c r="J5" s="28"/>
      <c r="K5" s="28"/>
      <c r="L5" s="28"/>
      <c r="M5" s="28"/>
      <c r="N5" s="33"/>
    </row>
    <row r="6" spans="1:14" ht="11.25">
      <c r="A6" s="20"/>
      <c r="B6" s="2"/>
      <c r="C6" s="2"/>
      <c r="D6" s="2"/>
      <c r="E6" s="2"/>
      <c r="F6" s="16" t="s">
        <v>17</v>
      </c>
      <c r="G6" s="323" t="s">
        <v>159</v>
      </c>
      <c r="H6" s="323"/>
      <c r="I6" s="2"/>
      <c r="J6" s="28"/>
      <c r="K6" s="28"/>
      <c r="L6" s="28"/>
      <c r="M6" s="28"/>
      <c r="N6" s="33"/>
    </row>
    <row r="7" spans="1:14" ht="11.25">
      <c r="A7" s="20"/>
      <c r="B7" s="2"/>
      <c r="C7" s="2"/>
      <c r="D7" s="2"/>
      <c r="E7" s="2"/>
      <c r="F7" s="16" t="s">
        <v>33</v>
      </c>
      <c r="G7" s="324" t="s">
        <v>101</v>
      </c>
      <c r="H7" s="325"/>
      <c r="I7" s="2"/>
      <c r="J7" s="28"/>
      <c r="K7" s="28"/>
      <c r="L7" s="28"/>
      <c r="M7" s="28"/>
      <c r="N7" s="33"/>
    </row>
    <row r="8" spans="1:14" ht="11.25">
      <c r="A8" s="20"/>
      <c r="B8" s="2"/>
      <c r="C8" s="2"/>
      <c r="D8" s="2"/>
      <c r="E8" s="2"/>
      <c r="F8" s="16" t="s">
        <v>18</v>
      </c>
      <c r="G8" s="326">
        <v>43940</v>
      </c>
      <c r="H8" s="327"/>
      <c r="I8" s="2"/>
      <c r="J8" s="28"/>
      <c r="K8" s="28"/>
      <c r="L8" s="28"/>
      <c r="M8" s="28"/>
      <c r="N8" s="33"/>
    </row>
    <row r="9" spans="1:14" ht="12.75">
      <c r="A9" s="21" t="s">
        <v>2</v>
      </c>
      <c r="B9" s="22"/>
      <c r="C9" s="4"/>
      <c r="D9" s="4"/>
      <c r="E9" s="3"/>
      <c r="F9" s="3"/>
      <c r="G9" s="319"/>
      <c r="H9" s="319"/>
      <c r="I9" s="3"/>
      <c r="J9" s="319"/>
      <c r="K9" s="319"/>
      <c r="L9" s="3"/>
      <c r="M9" s="319"/>
      <c r="N9" s="320"/>
    </row>
    <row r="10" spans="1:15" ht="12.75">
      <c r="A10" s="20"/>
      <c r="B10" s="22" t="s">
        <v>56</v>
      </c>
      <c r="C10" s="4"/>
      <c r="D10" s="4"/>
      <c r="E10" s="3"/>
      <c r="F10" s="29"/>
      <c r="G10" s="58"/>
      <c r="H10" s="58"/>
      <c r="I10" s="5"/>
      <c r="J10" s="58"/>
      <c r="K10" s="58"/>
      <c r="L10" s="5"/>
      <c r="M10" s="58"/>
      <c r="N10" s="59"/>
      <c r="O10" s="11"/>
    </row>
    <row r="11" spans="1:16" ht="11.25">
      <c r="A11" s="20"/>
      <c r="B11" s="22"/>
      <c r="C11" s="6"/>
      <c r="D11" s="6"/>
      <c r="E11" s="7"/>
      <c r="F11" s="30" t="s">
        <v>7</v>
      </c>
      <c r="G11" s="313">
        <f>MLL!G11-PHIL!G11</f>
        <v>8737</v>
      </c>
      <c r="H11" s="314"/>
      <c r="I11" s="5"/>
      <c r="J11" s="313">
        <f>MLL!J11-PHIL!J11</f>
        <v>9582</v>
      </c>
      <c r="K11" s="314"/>
      <c r="L11" s="5"/>
      <c r="M11" s="313">
        <f>MLL!M11-PHIL!M11</f>
        <v>9248</v>
      </c>
      <c r="N11" s="315"/>
      <c r="P11" s="10" t="s">
        <v>28</v>
      </c>
    </row>
    <row r="12" spans="1:16" ht="12.75">
      <c r="A12" s="20"/>
      <c r="B12" s="22"/>
      <c r="C12" s="4"/>
      <c r="D12" s="4"/>
      <c r="E12" s="3"/>
      <c r="F12" s="29" t="s">
        <v>5</v>
      </c>
      <c r="G12" s="316">
        <v>-0.047</v>
      </c>
      <c r="H12" s="317"/>
      <c r="I12" s="5"/>
      <c r="J12" s="316">
        <v>0.029</v>
      </c>
      <c r="K12" s="317"/>
      <c r="L12" s="5"/>
      <c r="M12" s="316">
        <v>-0.22</v>
      </c>
      <c r="N12" s="318"/>
      <c r="O12" s="11"/>
      <c r="P12" s="10" t="s">
        <v>29</v>
      </c>
    </row>
    <row r="13" spans="1:16" ht="12.75">
      <c r="A13" s="20"/>
      <c r="B13" s="22"/>
      <c r="C13" s="4"/>
      <c r="D13" s="4"/>
      <c r="E13" s="3"/>
      <c r="F13" s="29" t="s">
        <v>53</v>
      </c>
      <c r="G13" s="313">
        <f>MLL!G13-PHIL!G13</f>
        <v>7</v>
      </c>
      <c r="H13" s="314"/>
      <c r="I13" s="5"/>
      <c r="J13" s="313">
        <f>MLL!J13-PHIL!J13</f>
        <v>7</v>
      </c>
      <c r="K13" s="314"/>
      <c r="L13" s="5"/>
      <c r="M13" s="313">
        <f>MLL!M13-PHIL!M13</f>
        <v>7</v>
      </c>
      <c r="N13" s="315"/>
      <c r="O13" s="11"/>
      <c r="P13" s="10" t="s">
        <v>71</v>
      </c>
    </row>
    <row r="14" spans="1:16" ht="12.75">
      <c r="A14" s="20"/>
      <c r="B14" s="22"/>
      <c r="C14" s="4"/>
      <c r="D14" s="4"/>
      <c r="E14" s="3"/>
      <c r="F14" s="29" t="s">
        <v>54</v>
      </c>
      <c r="G14" s="313">
        <f>MLL!G14-PHIL!G14</f>
        <v>86</v>
      </c>
      <c r="H14" s="314"/>
      <c r="I14" s="5"/>
      <c r="J14" s="313">
        <f>MLL!J14-PHIL!J14</f>
        <v>73</v>
      </c>
      <c r="K14" s="314"/>
      <c r="L14" s="5"/>
      <c r="M14" s="313">
        <f>MLL!M14-PHIL!M14</f>
        <v>71</v>
      </c>
      <c r="N14" s="315"/>
      <c r="O14" s="11"/>
      <c r="P14" s="10" t="s">
        <v>70</v>
      </c>
    </row>
    <row r="15" spans="1:16" ht="12.75">
      <c r="A15" s="20"/>
      <c r="B15" s="22"/>
      <c r="C15" s="4"/>
      <c r="D15" s="4"/>
      <c r="E15" s="3"/>
      <c r="F15" s="29" t="s">
        <v>55</v>
      </c>
      <c r="G15" s="313">
        <f>MLL!G15-PHIL!G15</f>
        <v>9</v>
      </c>
      <c r="H15" s="314"/>
      <c r="I15" s="5"/>
      <c r="J15" s="313">
        <f>MLL!J15-PHIL!J15</f>
        <v>13</v>
      </c>
      <c r="K15" s="314"/>
      <c r="L15" s="5"/>
      <c r="M15" s="313">
        <f>MLL!M15-PHIL!M15</f>
        <v>13</v>
      </c>
      <c r="N15" s="315"/>
      <c r="O15" s="11"/>
      <c r="P15" s="10" t="s">
        <v>69</v>
      </c>
    </row>
    <row r="16" spans="1:16" ht="12.75">
      <c r="A16" s="20"/>
      <c r="B16" s="22"/>
      <c r="C16" s="4"/>
      <c r="D16" s="4"/>
      <c r="E16" s="3"/>
      <c r="F16" s="29" t="s">
        <v>78</v>
      </c>
      <c r="G16" s="313">
        <f>MLL!G16-PHIL!G16</f>
        <v>38</v>
      </c>
      <c r="H16" s="314"/>
      <c r="I16" s="5"/>
      <c r="J16" s="313">
        <f>MLL!J16-PHIL!J16</f>
        <v>39</v>
      </c>
      <c r="K16" s="314"/>
      <c r="L16" s="5"/>
      <c r="M16" s="313">
        <f>MLL!M16-PHIL!M16</f>
        <v>35</v>
      </c>
      <c r="N16" s="315"/>
      <c r="O16" s="11"/>
      <c r="P16" s="10" t="s">
        <v>86</v>
      </c>
    </row>
    <row r="17" spans="1:15" ht="12.75">
      <c r="A17" s="20"/>
      <c r="B17" s="22" t="s">
        <v>57</v>
      </c>
      <c r="C17" s="4"/>
      <c r="D17" s="4"/>
      <c r="E17" s="3"/>
      <c r="F17" s="29"/>
      <c r="G17" s="58"/>
      <c r="H17" s="58"/>
      <c r="I17" s="5"/>
      <c r="J17" s="58"/>
      <c r="K17" s="58"/>
      <c r="L17" s="5"/>
      <c r="M17" s="58"/>
      <c r="N17" s="59"/>
      <c r="O17" s="11"/>
    </row>
    <row r="18" spans="1:16" ht="11.25">
      <c r="A18" s="20"/>
      <c r="B18" s="22"/>
      <c r="C18" s="6"/>
      <c r="D18" s="6"/>
      <c r="E18" s="7"/>
      <c r="F18" s="30" t="s">
        <v>7</v>
      </c>
      <c r="G18" s="313"/>
      <c r="H18" s="314"/>
      <c r="I18" s="5"/>
      <c r="J18" s="313"/>
      <c r="K18" s="314"/>
      <c r="L18" s="5"/>
      <c r="M18" s="313"/>
      <c r="N18" s="315"/>
      <c r="P18" s="10" t="s">
        <v>28</v>
      </c>
    </row>
    <row r="19" spans="1:16" ht="12.75">
      <c r="A19" s="20"/>
      <c r="B19" s="22"/>
      <c r="C19" s="4"/>
      <c r="D19" s="4"/>
      <c r="E19" s="3"/>
      <c r="F19" s="29" t="s">
        <v>5</v>
      </c>
      <c r="G19" s="316"/>
      <c r="H19" s="317"/>
      <c r="I19" s="5"/>
      <c r="J19" s="316"/>
      <c r="K19" s="317"/>
      <c r="L19" s="5"/>
      <c r="M19" s="316"/>
      <c r="N19" s="318"/>
      <c r="O19" s="11"/>
      <c r="P19" s="10" t="s">
        <v>29</v>
      </c>
    </row>
    <row r="20" spans="1:16" ht="12.75">
      <c r="A20" s="20"/>
      <c r="B20" s="22"/>
      <c r="C20" s="4"/>
      <c r="D20" s="4"/>
      <c r="E20" s="3"/>
      <c r="F20" s="29" t="s">
        <v>58</v>
      </c>
      <c r="G20" s="313"/>
      <c r="H20" s="314"/>
      <c r="I20" s="5"/>
      <c r="J20" s="313"/>
      <c r="K20" s="314"/>
      <c r="L20" s="5"/>
      <c r="M20" s="313"/>
      <c r="N20" s="315"/>
      <c r="O20" s="11"/>
      <c r="P20" s="10" t="s">
        <v>71</v>
      </c>
    </row>
    <row r="21" spans="1:16" ht="12.75">
      <c r="A21" s="20"/>
      <c r="B21" s="22"/>
      <c r="C21" s="4"/>
      <c r="D21" s="4"/>
      <c r="E21" s="3"/>
      <c r="F21" s="29" t="s">
        <v>59</v>
      </c>
      <c r="G21" s="313"/>
      <c r="H21" s="314"/>
      <c r="I21" s="5"/>
      <c r="J21" s="313"/>
      <c r="K21" s="314"/>
      <c r="L21" s="5"/>
      <c r="M21" s="313"/>
      <c r="N21" s="315"/>
      <c r="O21" s="11"/>
      <c r="P21" s="10" t="s">
        <v>83</v>
      </c>
    </row>
    <row r="22" spans="1:16" ht="12.75">
      <c r="A22" s="20"/>
      <c r="B22" s="22"/>
      <c r="C22" s="4"/>
      <c r="D22" s="4"/>
      <c r="E22" s="3"/>
      <c r="F22" s="29" t="s">
        <v>78</v>
      </c>
      <c r="G22" s="313"/>
      <c r="H22" s="314"/>
      <c r="I22" s="5"/>
      <c r="J22" s="313"/>
      <c r="K22" s="314"/>
      <c r="L22" s="5"/>
      <c r="M22" s="313"/>
      <c r="N22" s="315"/>
      <c r="O22" s="11"/>
      <c r="P22" s="10" t="s">
        <v>86</v>
      </c>
    </row>
    <row r="23" spans="1:14" ht="11.25">
      <c r="A23" s="20"/>
      <c r="B23" s="4" t="s">
        <v>6</v>
      </c>
      <c r="C23" s="4"/>
      <c r="D23" s="4"/>
      <c r="E23" s="3"/>
      <c r="F23" s="3"/>
      <c r="G23" s="23"/>
      <c r="H23" s="23"/>
      <c r="I23" s="5"/>
      <c r="J23" s="23"/>
      <c r="K23" s="23"/>
      <c r="L23" s="5"/>
      <c r="M23" s="23"/>
      <c r="N23" s="24"/>
    </row>
    <row r="24" spans="1:16" ht="11.25">
      <c r="A24" s="20"/>
      <c r="B24" s="22"/>
      <c r="C24" s="4"/>
      <c r="D24" s="4"/>
      <c r="E24" s="3"/>
      <c r="F24" s="29" t="s">
        <v>20</v>
      </c>
      <c r="G24" s="293">
        <v>0.146</v>
      </c>
      <c r="H24" s="294"/>
      <c r="I24" s="3"/>
      <c r="J24" s="293">
        <v>0.158</v>
      </c>
      <c r="K24" s="294"/>
      <c r="L24" s="3"/>
      <c r="M24" s="293">
        <v>0.139</v>
      </c>
      <c r="N24" s="295"/>
      <c r="P24" s="10" t="s">
        <v>30</v>
      </c>
    </row>
    <row r="25" spans="1:16" ht="11.25">
      <c r="A25" s="20"/>
      <c r="B25" s="22"/>
      <c r="C25" s="4"/>
      <c r="D25" s="4"/>
      <c r="E25" s="3"/>
      <c r="F25" s="29" t="s">
        <v>21</v>
      </c>
      <c r="G25" s="293">
        <v>0.854</v>
      </c>
      <c r="H25" s="294"/>
      <c r="I25" s="3"/>
      <c r="J25" s="293">
        <v>0.842</v>
      </c>
      <c r="K25" s="294"/>
      <c r="L25" s="3"/>
      <c r="M25" s="293">
        <v>0.861</v>
      </c>
      <c r="N25" s="295"/>
      <c r="P25" s="10" t="s">
        <v>31</v>
      </c>
    </row>
    <row r="26" spans="1:14" ht="11.25">
      <c r="A26" s="62" t="s">
        <v>60</v>
      </c>
      <c r="B26" s="22"/>
      <c r="C26" s="4"/>
      <c r="D26" s="4"/>
      <c r="E26" s="3"/>
      <c r="F26" s="29"/>
      <c r="G26" s="60"/>
      <c r="H26" s="60"/>
      <c r="I26" s="5"/>
      <c r="J26" s="60"/>
      <c r="K26" s="60"/>
      <c r="L26" s="5"/>
      <c r="M26" s="60"/>
      <c r="N26" s="61"/>
    </row>
    <row r="27" spans="1:16" ht="11.25">
      <c r="A27" s="20"/>
      <c r="B27" s="22"/>
      <c r="C27" s="4"/>
      <c r="D27" s="4"/>
      <c r="E27" s="3"/>
      <c r="F27" s="29" t="s">
        <v>61</v>
      </c>
      <c r="G27" s="313">
        <f>MLL!G27-PHIL!G27</f>
        <v>789180.4199999999</v>
      </c>
      <c r="H27" s="314"/>
      <c r="I27" s="5"/>
      <c r="J27" s="313">
        <f>MLL!J27-PHIL!J27</f>
        <v>822018.4600000002</v>
      </c>
      <c r="K27" s="314"/>
      <c r="L27" s="5"/>
      <c r="M27" s="313">
        <f>MLL!M27-PHIL!M27</f>
        <v>811362.12</v>
      </c>
      <c r="N27" s="315"/>
      <c r="P27" s="10" t="s">
        <v>91</v>
      </c>
    </row>
    <row r="28" spans="1:16" ht="11.25">
      <c r="A28" s="20"/>
      <c r="B28" s="22"/>
      <c r="C28" s="4"/>
      <c r="D28" s="4"/>
      <c r="E28" s="3"/>
      <c r="F28" s="29" t="s">
        <v>62</v>
      </c>
      <c r="G28" s="313">
        <f>MLL!G28-PHIL!G28</f>
        <v>28359.15</v>
      </c>
      <c r="H28" s="314"/>
      <c r="I28" s="5"/>
      <c r="J28" s="313">
        <f>MLL!J28-PHIL!J28</f>
        <v>27122.020000000004</v>
      </c>
      <c r="K28" s="314"/>
      <c r="L28" s="5"/>
      <c r="M28" s="313">
        <f>MLL!M28-PHIL!M28</f>
        <v>27032.260000000002</v>
      </c>
      <c r="N28" s="315"/>
      <c r="P28" s="10" t="s">
        <v>91</v>
      </c>
    </row>
    <row r="29" spans="1:16" ht="11.25">
      <c r="A29" s="20"/>
      <c r="B29" s="22"/>
      <c r="C29" s="4"/>
      <c r="D29" s="4"/>
      <c r="E29" s="3"/>
      <c r="F29" s="29" t="s">
        <v>63</v>
      </c>
      <c r="G29" s="313">
        <f>MLL!G29-PHIL!G29</f>
        <v>294743.65</v>
      </c>
      <c r="H29" s="314"/>
      <c r="I29" s="5"/>
      <c r="J29" s="313">
        <f>MLL!J29-PHIL!J29</f>
        <v>289747.44</v>
      </c>
      <c r="K29" s="314"/>
      <c r="L29" s="5"/>
      <c r="M29" s="313">
        <f>MLL!M29-PHIL!M29</f>
        <v>286911.32</v>
      </c>
      <c r="N29" s="315"/>
      <c r="P29" s="10" t="s">
        <v>90</v>
      </c>
    </row>
    <row r="30" spans="1:14" ht="11.25">
      <c r="A30" s="20"/>
      <c r="B30" s="22"/>
      <c r="C30" s="4"/>
      <c r="D30" s="4"/>
      <c r="E30" s="3"/>
      <c r="F30" s="29"/>
      <c r="G30" s="73"/>
      <c r="H30" s="74"/>
      <c r="I30" s="5"/>
      <c r="J30" s="73"/>
      <c r="K30" s="74"/>
      <c r="L30" s="5"/>
      <c r="M30" s="73"/>
      <c r="N30" s="75"/>
    </row>
    <row r="31" spans="1:18" ht="11.25">
      <c r="A31" s="20"/>
      <c r="B31" s="4"/>
      <c r="C31" s="4"/>
      <c r="D31" s="4"/>
      <c r="E31" s="3"/>
      <c r="F31" s="63" t="s">
        <v>64</v>
      </c>
      <c r="G31" s="299">
        <f>(SUM(G27:G29))/(G11+G18)</f>
        <v>127.30722444775094</v>
      </c>
      <c r="H31" s="300"/>
      <c r="I31" s="22"/>
      <c r="J31" s="299">
        <f>SUM(J27:K29)/(J11+J18)</f>
        <v>118.85701523690254</v>
      </c>
      <c r="K31" s="300"/>
      <c r="L31" s="22"/>
      <c r="M31" s="299">
        <f>SUM(M27:N29)/(M11+M18)</f>
        <v>121.68097967128027</v>
      </c>
      <c r="N31" s="301"/>
      <c r="O31"/>
      <c r="P31" t="s">
        <v>32</v>
      </c>
      <c r="Q31"/>
      <c r="R31"/>
    </row>
    <row r="32" spans="1:14" ht="11.25">
      <c r="A32" s="21" t="s">
        <v>3</v>
      </c>
      <c r="B32" s="22"/>
      <c r="C32" s="4"/>
      <c r="D32" s="4"/>
      <c r="E32" s="3"/>
      <c r="F32" s="3"/>
      <c r="G32" s="8"/>
      <c r="H32" s="8"/>
      <c r="I32" s="3"/>
      <c r="J32" s="8"/>
      <c r="K32" s="8"/>
      <c r="L32" s="3"/>
      <c r="M32" s="8"/>
      <c r="N32" s="25"/>
    </row>
    <row r="33" spans="1:22" ht="11.25">
      <c r="A33" s="20"/>
      <c r="B33" s="22"/>
      <c r="C33" s="4"/>
      <c r="D33" s="48"/>
      <c r="E33" s="49"/>
      <c r="F33" s="50" t="s">
        <v>43</v>
      </c>
      <c r="G33" s="302">
        <f>MLL!G33-PHIL!G33</f>
        <v>4.7</v>
      </c>
      <c r="H33" s="303"/>
      <c r="I33" s="56"/>
      <c r="J33" s="302">
        <f>MLL!J33-PHIL!J33</f>
        <v>3.8999999999999995</v>
      </c>
      <c r="K33" s="303"/>
      <c r="L33" s="56"/>
      <c r="M33" s="302">
        <f>MLL!M33-PHIL!M33</f>
        <v>5.300000000000001</v>
      </c>
      <c r="N33" s="304"/>
      <c r="O33"/>
      <c r="P33" s="46" t="s">
        <v>47</v>
      </c>
      <c r="Q33" s="47"/>
      <c r="R33" s="47"/>
      <c r="S33" s="46"/>
      <c r="T33" s="46"/>
      <c r="U33" s="46"/>
      <c r="V33" s="46"/>
    </row>
    <row r="34" spans="1:22" ht="11.25">
      <c r="A34" s="20"/>
      <c r="B34" s="22"/>
      <c r="C34" s="4"/>
      <c r="D34" s="48"/>
      <c r="E34" s="49"/>
      <c r="F34" s="50" t="s">
        <v>44</v>
      </c>
      <c r="G34" s="302">
        <f>MLL!G34-PHIL!G34</f>
        <v>5</v>
      </c>
      <c r="H34" s="303"/>
      <c r="I34" s="56"/>
      <c r="J34" s="302">
        <f>MLL!J34-PHIL!J34</f>
        <v>5.125</v>
      </c>
      <c r="K34" s="303"/>
      <c r="L34" s="56"/>
      <c r="M34" s="302">
        <f>MLL!M34-PHIL!M34</f>
        <v>5</v>
      </c>
      <c r="N34" s="304"/>
      <c r="O34"/>
      <c r="P34" s="46" t="s">
        <v>48</v>
      </c>
      <c r="Q34" s="47"/>
      <c r="R34" s="47"/>
      <c r="S34" s="46"/>
      <c r="T34" s="46"/>
      <c r="U34" s="46"/>
      <c r="V34" s="46"/>
    </row>
    <row r="35" spans="1:22" ht="11.25">
      <c r="A35" s="20"/>
      <c r="B35" s="22"/>
      <c r="C35" s="4"/>
      <c r="D35" s="48"/>
      <c r="E35" s="49"/>
      <c r="F35" s="50" t="s">
        <v>45</v>
      </c>
      <c r="G35" s="302">
        <f>MLL!G35-PHIL!G35</f>
        <v>5.75</v>
      </c>
      <c r="H35" s="303"/>
      <c r="I35" s="56"/>
      <c r="J35" s="302">
        <f>MLL!J35-PHIL!J35</f>
        <v>6.625</v>
      </c>
      <c r="K35" s="303"/>
      <c r="L35" s="56"/>
      <c r="M35" s="302">
        <f>MLL!M35-PHIL!M35</f>
        <v>4.625</v>
      </c>
      <c r="N35" s="304"/>
      <c r="O35"/>
      <c r="P35" s="46" t="s">
        <v>50</v>
      </c>
      <c r="Q35" s="47"/>
      <c r="R35" s="47"/>
      <c r="S35" s="46"/>
      <c r="T35" s="46"/>
      <c r="U35" s="46"/>
      <c r="V35" s="46"/>
    </row>
    <row r="36" spans="1:22" ht="11.25">
      <c r="A36" s="20"/>
      <c r="B36" s="22"/>
      <c r="C36" s="4"/>
      <c r="D36" s="48"/>
      <c r="E36" s="49"/>
      <c r="F36" s="50" t="s">
        <v>46</v>
      </c>
      <c r="G36" s="302">
        <f>MLL!G36-PHIL!G36</f>
        <v>0</v>
      </c>
      <c r="H36" s="303"/>
      <c r="I36" s="56"/>
      <c r="J36" s="302">
        <f>MLL!J36-PHIL!J36</f>
        <v>0</v>
      </c>
      <c r="K36" s="303"/>
      <c r="L36" s="56"/>
      <c r="M36" s="302">
        <f>MLL!M36-PHIL!M36</f>
        <v>0</v>
      </c>
      <c r="N36" s="304"/>
      <c r="O36"/>
      <c r="P36" s="46" t="s">
        <v>49</v>
      </c>
      <c r="Q36" s="47"/>
      <c r="R36" s="47"/>
      <c r="S36" s="46"/>
      <c r="T36" s="46"/>
      <c r="U36" s="46"/>
      <c r="V36" s="46"/>
    </row>
    <row r="37" spans="1:18" s="69" customFormat="1" ht="11.25">
      <c r="A37" s="64"/>
      <c r="B37" s="65"/>
      <c r="C37" s="66"/>
      <c r="D37" s="66"/>
      <c r="E37" s="5"/>
      <c r="F37" s="67"/>
      <c r="G37" s="70"/>
      <c r="H37" s="70"/>
      <c r="I37" s="68"/>
      <c r="J37" s="70"/>
      <c r="K37" s="70"/>
      <c r="L37" s="68"/>
      <c r="M37" s="70"/>
      <c r="N37" s="71"/>
      <c r="O37" s="12"/>
      <c r="Q37" s="12"/>
      <c r="R37" s="12"/>
    </row>
    <row r="38" spans="1:22" ht="11.25">
      <c r="A38" s="20"/>
      <c r="B38" s="22"/>
      <c r="C38" s="4"/>
      <c r="D38" s="48"/>
      <c r="E38" s="49"/>
      <c r="F38" s="50" t="s">
        <v>66</v>
      </c>
      <c r="G38" s="305">
        <f>MLL!G38-PHIL!G38</f>
        <v>2930</v>
      </c>
      <c r="H38" s="305"/>
      <c r="I38" s="56"/>
      <c r="J38" s="305">
        <f>MLL!J38-PHIL!J38</f>
        <v>3325</v>
      </c>
      <c r="K38" s="305"/>
      <c r="L38" s="56"/>
      <c r="M38" s="305">
        <f>MLL!M38-PHIL!M38</f>
        <v>3577</v>
      </c>
      <c r="N38" s="306"/>
      <c r="O38"/>
      <c r="P38" s="46" t="s">
        <v>72</v>
      </c>
      <c r="Q38" s="47"/>
      <c r="R38" s="47"/>
      <c r="S38" s="46"/>
      <c r="T38" s="46"/>
      <c r="U38" s="46"/>
      <c r="V38" s="46"/>
    </row>
    <row r="39" spans="1:22" ht="11.25">
      <c r="A39" s="20"/>
      <c r="B39" s="22"/>
      <c r="C39" s="4"/>
      <c r="D39" s="48"/>
      <c r="E39" s="49"/>
      <c r="F39" s="50" t="s">
        <v>65</v>
      </c>
      <c r="G39" s="305">
        <f>MLL!G39-PHIL!G39</f>
        <v>3408</v>
      </c>
      <c r="H39" s="305"/>
      <c r="I39" s="56"/>
      <c r="J39" s="305">
        <f>MLL!J39-PHIL!J39</f>
        <v>2928</v>
      </c>
      <c r="K39" s="305"/>
      <c r="L39" s="56"/>
      <c r="M39" s="305">
        <f>MLL!M39-PHIL!M39</f>
        <v>2920</v>
      </c>
      <c r="N39" s="306"/>
      <c r="O39"/>
      <c r="P39" s="46" t="s">
        <v>73</v>
      </c>
      <c r="Q39" s="47"/>
      <c r="R39" s="47"/>
      <c r="S39" s="46"/>
      <c r="T39" s="46"/>
      <c r="U39" s="46"/>
      <c r="V39" s="46"/>
    </row>
    <row r="40" spans="1:22" ht="11.25">
      <c r="A40" s="20"/>
      <c r="B40" s="22"/>
      <c r="C40" s="4"/>
      <c r="D40" s="48"/>
      <c r="E40" s="49"/>
      <c r="F40" s="50" t="s">
        <v>67</v>
      </c>
      <c r="G40" s="305">
        <f>MLL!G40-PHIL!G40</f>
        <v>3305</v>
      </c>
      <c r="H40" s="305"/>
      <c r="I40" s="56"/>
      <c r="J40" s="305">
        <f>MLL!J40-PHIL!J40</f>
        <v>3573</v>
      </c>
      <c r="K40" s="305"/>
      <c r="L40" s="56"/>
      <c r="M40" s="305">
        <f>MLL!M40-PHIL!M40</f>
        <v>4029</v>
      </c>
      <c r="N40" s="306"/>
      <c r="O40"/>
      <c r="P40" s="46" t="s">
        <v>75</v>
      </c>
      <c r="Q40" s="47"/>
      <c r="R40" s="47"/>
      <c r="S40" s="46"/>
      <c r="T40" s="46"/>
      <c r="U40" s="46"/>
      <c r="V40" s="46"/>
    </row>
    <row r="41" spans="1:22" ht="11.25">
      <c r="A41" s="20"/>
      <c r="B41" s="22"/>
      <c r="C41" s="4"/>
      <c r="D41" s="48"/>
      <c r="E41" s="49"/>
      <c r="F41" s="50" t="s">
        <v>68</v>
      </c>
      <c r="G41" s="305">
        <f>MLL!G41-PHIL!G41</f>
        <v>0</v>
      </c>
      <c r="H41" s="305"/>
      <c r="I41" s="56"/>
      <c r="J41" s="305">
        <f>MLL!J41-PHIL!J41</f>
        <v>0</v>
      </c>
      <c r="K41" s="305"/>
      <c r="L41" s="56"/>
      <c r="M41" s="305">
        <f>MLL!M41-PHIL!M41</f>
        <v>0</v>
      </c>
      <c r="N41" s="306"/>
      <c r="O41"/>
      <c r="P41" s="46" t="s">
        <v>74</v>
      </c>
      <c r="Q41" s="47"/>
      <c r="R41" s="47"/>
      <c r="S41" s="46"/>
      <c r="T41" s="46"/>
      <c r="U41" s="46"/>
      <c r="V41" s="46"/>
    </row>
    <row r="42" spans="1:18" ht="11.25">
      <c r="A42" s="20"/>
      <c r="B42" s="4"/>
      <c r="C42" s="4"/>
      <c r="D42" s="4"/>
      <c r="E42" s="3"/>
      <c r="F42" s="3"/>
      <c r="G42" s="9"/>
      <c r="H42" s="9"/>
      <c r="I42" s="22"/>
      <c r="J42" s="9"/>
      <c r="K42" s="9"/>
      <c r="L42" s="22"/>
      <c r="M42" s="9"/>
      <c r="N42" s="26"/>
      <c r="O42"/>
      <c r="P42"/>
      <c r="Q42"/>
      <c r="R42"/>
    </row>
    <row r="43" spans="1:18" ht="11.25">
      <c r="A43" s="20"/>
      <c r="B43" s="22"/>
      <c r="C43" s="4"/>
      <c r="D43" s="4"/>
      <c r="E43" s="3"/>
      <c r="F43" s="29" t="s">
        <v>22</v>
      </c>
      <c r="G43" s="302">
        <f>+(G11+G18)/(G33+G34)</f>
        <v>900.7216494845361</v>
      </c>
      <c r="H43" s="303"/>
      <c r="I43" s="22"/>
      <c r="J43" s="302">
        <f>+(J11+J18)/(J33+J34)</f>
        <v>1061.7174515235458</v>
      </c>
      <c r="K43" s="303"/>
      <c r="L43" s="22"/>
      <c r="M43" s="302">
        <f>+(M11+M18)/(M33+M34)</f>
        <v>897.8640776699028</v>
      </c>
      <c r="N43" s="303"/>
      <c r="O43"/>
      <c r="P43" t="s">
        <v>32</v>
      </c>
      <c r="Q43"/>
      <c r="R43"/>
    </row>
    <row r="44" spans="1:18" ht="11.25">
      <c r="A44" s="20"/>
      <c r="B44" s="22"/>
      <c r="C44" s="4"/>
      <c r="D44" s="4"/>
      <c r="E44" s="3"/>
      <c r="F44" s="29" t="s">
        <v>216</v>
      </c>
      <c r="G44" s="332">
        <f>(G11+G18)/SUM(G33:H36)</f>
        <v>565.5016181229773</v>
      </c>
      <c r="H44" s="332"/>
      <c r="I44" s="22"/>
      <c r="J44" s="332">
        <f>(J11+J18)/SUM(J33:K36)</f>
        <v>612.2683706070288</v>
      </c>
      <c r="K44" s="332"/>
      <c r="L44" s="22"/>
      <c r="M44" s="332">
        <f>(M11+M18)/SUM(M33:N36)</f>
        <v>619.6314907872696</v>
      </c>
      <c r="N44" s="332"/>
      <c r="O44"/>
      <c r="P44"/>
      <c r="Q44"/>
      <c r="R44"/>
    </row>
    <row r="45" spans="1:17" ht="11.25">
      <c r="A45" s="20"/>
      <c r="B45" s="4"/>
      <c r="C45" s="4"/>
      <c r="D45" s="4"/>
      <c r="E45" s="3"/>
      <c r="F45" s="3"/>
      <c r="G45" s="34" t="s">
        <v>24</v>
      </c>
      <c r="H45" s="34" t="s">
        <v>23</v>
      </c>
      <c r="I45" s="28"/>
      <c r="J45" s="34" t="s">
        <v>24</v>
      </c>
      <c r="K45" s="34" t="s">
        <v>23</v>
      </c>
      <c r="L45" s="28"/>
      <c r="M45" s="34" t="s">
        <v>24</v>
      </c>
      <c r="N45" s="35" t="s">
        <v>23</v>
      </c>
      <c r="O45" s="14"/>
      <c r="P45" s="13"/>
      <c r="Q45" s="31"/>
    </row>
    <row r="46" spans="1:22" ht="11.25">
      <c r="A46" s="20"/>
      <c r="B46" s="4"/>
      <c r="C46" s="4"/>
      <c r="D46" s="52"/>
      <c r="E46" s="53"/>
      <c r="F46" s="54" t="s">
        <v>25</v>
      </c>
      <c r="G46" s="76">
        <f>MLL!G46-PHIL!G46</f>
        <v>8</v>
      </c>
      <c r="H46" s="32">
        <f>G46/(G46+G47+G48+G49)</f>
        <v>0.6584362139917695</v>
      </c>
      <c r="I46" s="28"/>
      <c r="J46" s="76">
        <f>MLL!J46-PHIL!J46</f>
        <v>8</v>
      </c>
      <c r="K46" s="32">
        <f>J46/(J46+J47+J48+J49)</f>
        <v>0.6584362139917695</v>
      </c>
      <c r="L46" s="28"/>
      <c r="M46" s="76">
        <f>MLL!M46-PHIL!M46</f>
        <v>8</v>
      </c>
      <c r="N46" s="36">
        <f>M46/(M46+M47+M48+M49)</f>
        <v>0.6584362139917695</v>
      </c>
      <c r="O46" s="14"/>
      <c r="P46" s="55" t="s">
        <v>84</v>
      </c>
      <c r="Q46" s="51"/>
      <c r="R46" s="55"/>
      <c r="S46" s="55"/>
      <c r="T46" s="55"/>
      <c r="U46" s="55"/>
      <c r="V46" s="55"/>
    </row>
    <row r="47" spans="1:22" ht="11.25">
      <c r="A47" s="20"/>
      <c r="B47" s="4"/>
      <c r="C47" s="4"/>
      <c r="D47" s="52"/>
      <c r="E47" s="53"/>
      <c r="F47" s="54" t="s">
        <v>13</v>
      </c>
      <c r="G47" s="76">
        <f>MLL!G47-PHIL!G47</f>
        <v>4</v>
      </c>
      <c r="H47" s="32">
        <f>G47/(G46+G47+G48+G49)</f>
        <v>0.3292181069958848</v>
      </c>
      <c r="I47" s="28"/>
      <c r="J47" s="76">
        <f>MLL!J47-PHIL!J47</f>
        <v>4</v>
      </c>
      <c r="K47" s="32">
        <f>J47/(J46+J47+J48+J49)</f>
        <v>0.3292181069958848</v>
      </c>
      <c r="L47" s="28"/>
      <c r="M47" s="76">
        <f>MLL!M47-PHIL!M47</f>
        <v>4</v>
      </c>
      <c r="N47" s="36">
        <f>M47/(M46+M47+M48+M49)</f>
        <v>0.3292181069958848</v>
      </c>
      <c r="O47" s="14"/>
      <c r="P47" s="55" t="s">
        <v>84</v>
      </c>
      <c r="Q47" s="51"/>
      <c r="R47" s="55"/>
      <c r="S47" s="55"/>
      <c r="T47" s="55"/>
      <c r="U47" s="55"/>
      <c r="V47" s="55"/>
    </row>
    <row r="48" spans="1:22" ht="11.25">
      <c r="A48" s="20"/>
      <c r="B48" s="4"/>
      <c r="C48" s="4"/>
      <c r="D48" s="52"/>
      <c r="E48" s="53"/>
      <c r="F48" s="54" t="s">
        <v>51</v>
      </c>
      <c r="G48" s="76">
        <f>MLL!G48-PHIL!G48</f>
        <v>0.15</v>
      </c>
      <c r="H48" s="32">
        <f>G48/(G46+G47+G48+G49)</f>
        <v>0.012345679012345678</v>
      </c>
      <c r="I48" s="28"/>
      <c r="J48" s="76">
        <f>MLL!J48-PHIL!J48</f>
        <v>0.15</v>
      </c>
      <c r="K48" s="32">
        <f>J48/(J46+J47+J48+J49)</f>
        <v>0.012345679012345678</v>
      </c>
      <c r="L48" s="28"/>
      <c r="M48" s="76">
        <f>MLL!M48-PHIL!M48</f>
        <v>0.15</v>
      </c>
      <c r="N48" s="36">
        <f>M48/(M46+M47+M48+M49)</f>
        <v>0.012345679012345678</v>
      </c>
      <c r="O48" s="14"/>
      <c r="P48" s="55" t="s">
        <v>85</v>
      </c>
      <c r="Q48" s="51"/>
      <c r="R48" s="55"/>
      <c r="S48" s="55"/>
      <c r="T48" s="55"/>
      <c r="U48" s="55"/>
      <c r="V48" s="55"/>
    </row>
    <row r="49" spans="1:22" ht="11.25">
      <c r="A49" s="20"/>
      <c r="B49" s="4"/>
      <c r="C49" s="4"/>
      <c r="D49" s="52"/>
      <c r="E49" s="53"/>
      <c r="F49" s="54" t="s">
        <v>52</v>
      </c>
      <c r="G49" s="76">
        <f>MLL!G49-PHIL!G49</f>
        <v>0</v>
      </c>
      <c r="H49" s="32">
        <f>G49/(G46+G47+G48+G49)</f>
        <v>0</v>
      </c>
      <c r="I49" s="28"/>
      <c r="J49" s="76">
        <f>MLL!J49-PHIL!J49</f>
        <v>0</v>
      </c>
      <c r="K49" s="32">
        <f>J49/(J46+J47+J48+J49)</f>
        <v>0</v>
      </c>
      <c r="L49" s="28"/>
      <c r="M49" s="76">
        <f>MLL!M49-PHIL!M49</f>
        <v>0</v>
      </c>
      <c r="N49" s="36">
        <f>M49/(M46+M47+M48+M49)</f>
        <v>0</v>
      </c>
      <c r="O49" s="14"/>
      <c r="P49" s="55" t="s">
        <v>85</v>
      </c>
      <c r="Q49" s="51"/>
      <c r="R49" s="55"/>
      <c r="S49" s="55"/>
      <c r="T49" s="55"/>
      <c r="U49" s="55"/>
      <c r="V49" s="55"/>
    </row>
    <row r="50" spans="1:14" ht="11.25">
      <c r="A50" s="21" t="s">
        <v>4</v>
      </c>
      <c r="B50" s="22"/>
      <c r="C50" s="4"/>
      <c r="D50" s="4"/>
      <c r="E50" s="3"/>
      <c r="F50" s="3"/>
      <c r="G50" s="8"/>
      <c r="H50" s="8"/>
      <c r="I50" s="3"/>
      <c r="J50" s="8"/>
      <c r="K50" s="8"/>
      <c r="L50" s="3"/>
      <c r="M50" s="8"/>
      <c r="N50" s="25"/>
    </row>
    <row r="51" spans="1:16" ht="11.25">
      <c r="A51" s="21"/>
      <c r="B51" s="22"/>
      <c r="C51" s="4"/>
      <c r="D51" s="4"/>
      <c r="E51" s="3"/>
      <c r="F51" s="63" t="s">
        <v>77</v>
      </c>
      <c r="G51" s="293">
        <v>0.927</v>
      </c>
      <c r="H51" s="294"/>
      <c r="I51" s="72"/>
      <c r="J51" s="293">
        <v>0.929</v>
      </c>
      <c r="K51" s="294"/>
      <c r="L51" s="72"/>
      <c r="M51" s="293">
        <v>0.903</v>
      </c>
      <c r="N51" s="295"/>
      <c r="P51" s="10" t="s">
        <v>87</v>
      </c>
    </row>
    <row r="52" spans="1:16" ht="11.25">
      <c r="A52" s="21"/>
      <c r="B52" s="22"/>
      <c r="C52" s="4"/>
      <c r="D52" s="4"/>
      <c r="E52" s="3"/>
      <c r="F52" s="63" t="s">
        <v>76</v>
      </c>
      <c r="G52" s="293">
        <v>0.168</v>
      </c>
      <c r="H52" s="294"/>
      <c r="I52" s="72"/>
      <c r="J52" s="293">
        <v>0.181</v>
      </c>
      <c r="K52" s="294"/>
      <c r="L52" s="72"/>
      <c r="M52" s="293">
        <v>0.205</v>
      </c>
      <c r="N52" s="295"/>
      <c r="P52" s="10" t="s">
        <v>79</v>
      </c>
    </row>
    <row r="53" spans="1:16" ht="11" customHeight="1">
      <c r="A53" s="20"/>
      <c r="B53" s="23"/>
      <c r="C53" s="4"/>
      <c r="D53" s="4"/>
      <c r="E53" s="3"/>
      <c r="F53" s="29" t="s">
        <v>10</v>
      </c>
      <c r="G53" s="296">
        <f>MLL!G53-PHIL!G53</f>
        <v>7</v>
      </c>
      <c r="H53" s="297"/>
      <c r="I53" s="3"/>
      <c r="J53" s="296">
        <f>MLL!J53-PHIL!J53</f>
        <v>7</v>
      </c>
      <c r="K53" s="297"/>
      <c r="L53" s="3"/>
      <c r="M53" s="296">
        <f>MLL!M53-PHIL!M53</f>
        <v>8</v>
      </c>
      <c r="N53" s="298"/>
      <c r="P53" s="10" t="s">
        <v>34</v>
      </c>
    </row>
    <row r="54" spans="1:16" ht="11.25">
      <c r="A54" s="20"/>
      <c r="B54" s="23"/>
      <c r="C54" s="4"/>
      <c r="D54" s="4"/>
      <c r="E54" s="3"/>
      <c r="F54" s="29" t="s">
        <v>8</v>
      </c>
      <c r="G54" s="296">
        <v>15</v>
      </c>
      <c r="H54" s="297"/>
      <c r="I54" s="14"/>
      <c r="J54" s="296">
        <v>15</v>
      </c>
      <c r="K54" s="297"/>
      <c r="L54" s="14"/>
      <c r="M54" s="296">
        <v>16</v>
      </c>
      <c r="N54" s="298"/>
      <c r="P54" s="10" t="s">
        <v>36</v>
      </c>
    </row>
    <row r="55" spans="1:16" ht="11.25">
      <c r="A55" s="20"/>
      <c r="B55" s="23"/>
      <c r="C55" s="4"/>
      <c r="D55" s="4"/>
      <c r="E55" s="3"/>
      <c r="F55" s="42" t="s">
        <v>11</v>
      </c>
      <c r="G55" s="296">
        <v>15.6</v>
      </c>
      <c r="H55" s="297"/>
      <c r="I55" s="3"/>
      <c r="J55" s="296">
        <v>17</v>
      </c>
      <c r="K55" s="297"/>
      <c r="L55" s="3"/>
      <c r="M55" s="296">
        <v>16</v>
      </c>
      <c r="N55" s="298"/>
      <c r="P55" s="10" t="s">
        <v>42</v>
      </c>
    </row>
    <row r="56" spans="1:19" ht="11.25">
      <c r="A56" s="20"/>
      <c r="B56" s="22"/>
      <c r="C56" s="4"/>
      <c r="D56" s="4"/>
      <c r="E56" s="3"/>
      <c r="F56" s="29" t="s">
        <v>9</v>
      </c>
      <c r="G56" s="293">
        <v>0.67</v>
      </c>
      <c r="H56" s="294"/>
      <c r="I56" s="3"/>
      <c r="J56" s="293">
        <v>0.67</v>
      </c>
      <c r="K56" s="294"/>
      <c r="L56" s="3"/>
      <c r="M56" s="293">
        <v>0.72</v>
      </c>
      <c r="N56" s="295"/>
      <c r="P56" s="10" t="s">
        <v>37</v>
      </c>
      <c r="Q56"/>
      <c r="R56"/>
      <c r="S56"/>
    </row>
    <row r="57" spans="1:19" ht="11.25">
      <c r="A57" s="20"/>
      <c r="B57" s="22"/>
      <c r="C57" s="4"/>
      <c r="D57" s="4"/>
      <c r="E57" s="27"/>
      <c r="F57" s="29" t="s">
        <v>12</v>
      </c>
      <c r="G57" s="296">
        <v>0</v>
      </c>
      <c r="H57" s="297"/>
      <c r="I57" s="28"/>
      <c r="J57" s="296">
        <v>1</v>
      </c>
      <c r="K57" s="297"/>
      <c r="L57" s="28"/>
      <c r="M57" s="296">
        <v>1</v>
      </c>
      <c r="N57" s="298"/>
      <c r="P57" s="10" t="s">
        <v>38</v>
      </c>
      <c r="Q57"/>
      <c r="R57"/>
      <c r="S57"/>
    </row>
    <row r="58" spans="1:19" ht="11.25">
      <c r="A58" s="20"/>
      <c r="B58" s="22"/>
      <c r="C58" s="4"/>
      <c r="D58" s="4"/>
      <c r="E58" s="3"/>
      <c r="F58" s="29" t="s">
        <v>19</v>
      </c>
      <c r="G58" s="293">
        <v>0.181</v>
      </c>
      <c r="H58" s="294"/>
      <c r="I58" s="28"/>
      <c r="J58" s="293">
        <v>0.21</v>
      </c>
      <c r="K58" s="294"/>
      <c r="L58" s="28"/>
      <c r="M58" s="293">
        <v>0.167</v>
      </c>
      <c r="N58" s="295"/>
      <c r="P58" s="10" t="s">
        <v>39</v>
      </c>
      <c r="Q58"/>
      <c r="R58"/>
      <c r="S58"/>
    </row>
    <row r="59" spans="1:19" ht="11.25">
      <c r="A59" s="20"/>
      <c r="B59" s="22"/>
      <c r="C59" s="4"/>
      <c r="D59" s="4"/>
      <c r="E59" s="3"/>
      <c r="F59" s="29" t="s">
        <v>0</v>
      </c>
      <c r="G59" s="293">
        <v>0.027</v>
      </c>
      <c r="H59" s="294"/>
      <c r="I59" s="28"/>
      <c r="J59" s="293">
        <v>0.082</v>
      </c>
      <c r="K59" s="294"/>
      <c r="L59" s="28"/>
      <c r="M59" s="293">
        <v>0.009</v>
      </c>
      <c r="N59" s="295"/>
      <c r="P59" s="10" t="s">
        <v>40</v>
      </c>
      <c r="Q59"/>
      <c r="R59"/>
      <c r="S59"/>
    </row>
    <row r="60" spans="1:14" ht="11.25">
      <c r="A60" s="21" t="s">
        <v>1</v>
      </c>
      <c r="B60" s="28"/>
      <c r="C60" s="28"/>
      <c r="D60" s="28"/>
      <c r="E60" s="28"/>
      <c r="F60" s="28"/>
      <c r="G60" s="28"/>
      <c r="H60" s="28"/>
      <c r="I60" s="28"/>
      <c r="J60" s="28"/>
      <c r="K60" s="28"/>
      <c r="L60" s="28"/>
      <c r="M60" s="28"/>
      <c r="N60" s="33"/>
    </row>
    <row r="61" spans="1:16" ht="11.25">
      <c r="A61" s="37" t="s">
        <v>158</v>
      </c>
      <c r="B61" s="28"/>
      <c r="C61" s="28"/>
      <c r="D61" s="28"/>
      <c r="E61" s="28"/>
      <c r="F61" s="28"/>
      <c r="G61" s="28"/>
      <c r="H61" s="28"/>
      <c r="I61" s="28"/>
      <c r="J61" s="28"/>
      <c r="K61" s="28"/>
      <c r="L61" s="28"/>
      <c r="M61" s="28"/>
      <c r="N61" s="33"/>
      <c r="P61" t="s">
        <v>35</v>
      </c>
    </row>
    <row r="62" spans="1:14" ht="11.25">
      <c r="A62" s="38" t="s">
        <v>157</v>
      </c>
      <c r="B62" s="23"/>
      <c r="C62" s="23"/>
      <c r="D62" s="23"/>
      <c r="E62" s="23"/>
      <c r="F62" s="23"/>
      <c r="G62" s="23"/>
      <c r="H62" s="23"/>
      <c r="I62" s="23"/>
      <c r="J62" s="23"/>
      <c r="K62" s="23"/>
      <c r="L62" s="23"/>
      <c r="M62" s="23"/>
      <c r="N62" s="24"/>
    </row>
    <row r="63" spans="1:14" ht="11.25">
      <c r="A63" s="38"/>
      <c r="B63" s="23"/>
      <c r="C63" s="23"/>
      <c r="D63" s="23"/>
      <c r="E63" s="23"/>
      <c r="F63" s="23"/>
      <c r="G63" s="23"/>
      <c r="H63" s="23"/>
      <c r="I63" s="23"/>
      <c r="J63" s="23"/>
      <c r="K63" s="23"/>
      <c r="L63" s="23"/>
      <c r="M63" s="23"/>
      <c r="N63" s="24"/>
    </row>
    <row r="64" spans="1:16" ht="11.25">
      <c r="A64" s="38"/>
      <c r="B64" s="23"/>
      <c r="C64" s="23"/>
      <c r="D64" s="23"/>
      <c r="E64" s="23"/>
      <c r="F64" s="23"/>
      <c r="G64" s="23"/>
      <c r="H64" s="23"/>
      <c r="I64" s="23"/>
      <c r="J64" s="23"/>
      <c r="K64" s="23"/>
      <c r="L64" s="23"/>
      <c r="M64" s="23"/>
      <c r="N64" s="24"/>
      <c r="P64" s="44" t="s">
        <v>41</v>
      </c>
    </row>
    <row r="65" spans="1:14" ht="11.25">
      <c r="A65" s="38"/>
      <c r="B65" s="23"/>
      <c r="C65" s="23"/>
      <c r="D65" s="23"/>
      <c r="E65" s="23"/>
      <c r="F65" s="23"/>
      <c r="G65" s="23"/>
      <c r="H65" s="23"/>
      <c r="I65" s="23"/>
      <c r="J65" s="23"/>
      <c r="K65" s="23"/>
      <c r="L65" s="23"/>
      <c r="M65" s="23"/>
      <c r="N65" s="24"/>
    </row>
    <row r="66" spans="1:14" ht="12.75" thickBot="1">
      <c r="A66" s="39"/>
      <c r="B66" s="40"/>
      <c r="C66" s="40"/>
      <c r="D66" s="40"/>
      <c r="E66" s="40"/>
      <c r="F66" s="40"/>
      <c r="G66" s="40"/>
      <c r="H66" s="40"/>
      <c r="I66" s="40"/>
      <c r="J66" s="40"/>
      <c r="K66" s="40"/>
      <c r="L66" s="40"/>
      <c r="M66" s="40"/>
      <c r="N66" s="41"/>
    </row>
  </sheetData>
  <mergeCells count="122">
    <mergeCell ref="M12:N12"/>
    <mergeCell ref="G13:H13"/>
    <mergeCell ref="M21:N21"/>
    <mergeCell ref="G22:H22"/>
    <mergeCell ref="G14:H14"/>
    <mergeCell ref="J14:K14"/>
    <mergeCell ref="M14:N14"/>
    <mergeCell ref="G2:N2"/>
    <mergeCell ref="G3:H3"/>
    <mergeCell ref="J3:K3"/>
    <mergeCell ref="M3:N3"/>
    <mergeCell ref="G4:H4"/>
    <mergeCell ref="J4:K4"/>
    <mergeCell ref="M4:N4"/>
    <mergeCell ref="G5:H5"/>
    <mergeCell ref="G6:H6"/>
    <mergeCell ref="G7:H7"/>
    <mergeCell ref="G8:H8"/>
    <mergeCell ref="G9:H9"/>
    <mergeCell ref="J9:K9"/>
    <mergeCell ref="M9:N9"/>
    <mergeCell ref="G11:H11"/>
    <mergeCell ref="J11:K11"/>
    <mergeCell ref="M11:N11"/>
    <mergeCell ref="G12:H12"/>
    <mergeCell ref="J12:K12"/>
    <mergeCell ref="M33:N33"/>
    <mergeCell ref="G34:H34"/>
    <mergeCell ref="J13:K13"/>
    <mergeCell ref="M13:N13"/>
    <mergeCell ref="G24:H24"/>
    <mergeCell ref="J24:K24"/>
    <mergeCell ref="M24:N24"/>
    <mergeCell ref="G15:H15"/>
    <mergeCell ref="J15:K15"/>
    <mergeCell ref="M15:N15"/>
    <mergeCell ref="G16:H16"/>
    <mergeCell ref="J16:K16"/>
    <mergeCell ref="M16:N16"/>
    <mergeCell ref="G18:H18"/>
    <mergeCell ref="J18:K18"/>
    <mergeCell ref="M18:N18"/>
    <mergeCell ref="G19:H19"/>
    <mergeCell ref="J19:K19"/>
    <mergeCell ref="M19:N19"/>
    <mergeCell ref="G20:H20"/>
    <mergeCell ref="J20:K20"/>
    <mergeCell ref="M20:N20"/>
    <mergeCell ref="G21:H21"/>
    <mergeCell ref="J21:K21"/>
    <mergeCell ref="M43:N43"/>
    <mergeCell ref="G51:H51"/>
    <mergeCell ref="J22:K22"/>
    <mergeCell ref="M22:N22"/>
    <mergeCell ref="G35:H35"/>
    <mergeCell ref="J35:K35"/>
    <mergeCell ref="M35:N35"/>
    <mergeCell ref="G25:H25"/>
    <mergeCell ref="J25:K25"/>
    <mergeCell ref="M25:N25"/>
    <mergeCell ref="G27:H27"/>
    <mergeCell ref="J27:K27"/>
    <mergeCell ref="M27:N27"/>
    <mergeCell ref="G28:H28"/>
    <mergeCell ref="J28:K28"/>
    <mergeCell ref="M28:N28"/>
    <mergeCell ref="G29:H29"/>
    <mergeCell ref="J29:K29"/>
    <mergeCell ref="M29:N29"/>
    <mergeCell ref="G31:H31"/>
    <mergeCell ref="J31:K31"/>
    <mergeCell ref="M31:N31"/>
    <mergeCell ref="G33:H33"/>
    <mergeCell ref="J33:K33"/>
    <mergeCell ref="M55:N55"/>
    <mergeCell ref="G56:H56"/>
    <mergeCell ref="J34:K34"/>
    <mergeCell ref="M34:N34"/>
    <mergeCell ref="G52:H52"/>
    <mergeCell ref="J52:K52"/>
    <mergeCell ref="M52:N52"/>
    <mergeCell ref="G36:H36"/>
    <mergeCell ref="J36:K36"/>
    <mergeCell ref="M36:N36"/>
    <mergeCell ref="G38:H38"/>
    <mergeCell ref="J38:K38"/>
    <mergeCell ref="M38:N38"/>
    <mergeCell ref="G39:H39"/>
    <mergeCell ref="J39:K39"/>
    <mergeCell ref="M39:N39"/>
    <mergeCell ref="G40:H40"/>
    <mergeCell ref="J40:K40"/>
    <mergeCell ref="M40:N40"/>
    <mergeCell ref="G41:H41"/>
    <mergeCell ref="J41:K41"/>
    <mergeCell ref="M41:N41"/>
    <mergeCell ref="G43:H43"/>
    <mergeCell ref="J43:K43"/>
    <mergeCell ref="J56:K56"/>
    <mergeCell ref="M56:N56"/>
    <mergeCell ref="J51:K51"/>
    <mergeCell ref="M51:N51"/>
    <mergeCell ref="G44:H44"/>
    <mergeCell ref="J44:K44"/>
    <mergeCell ref="M44:N44"/>
    <mergeCell ref="G53:H53"/>
    <mergeCell ref="J53:K53"/>
    <mergeCell ref="M53:N53"/>
    <mergeCell ref="G54:H54"/>
    <mergeCell ref="J54:K54"/>
    <mergeCell ref="M54:N54"/>
    <mergeCell ref="G55:H55"/>
    <mergeCell ref="J55:K55"/>
    <mergeCell ref="G59:H59"/>
    <mergeCell ref="J59:K59"/>
    <mergeCell ref="M59:N59"/>
    <mergeCell ref="G57:H57"/>
    <mergeCell ref="J57:K57"/>
    <mergeCell ref="M57:N57"/>
    <mergeCell ref="G58:H58"/>
    <mergeCell ref="J58:K58"/>
    <mergeCell ref="M58:N58"/>
  </mergeCells>
  <printOptions/>
  <pageMargins left="0.25" right="0.25" top="0.75" bottom="0.75" header="0.3" footer="0.3"/>
  <pageSetup fitToHeight="1" fitToWidth="1" horizontalDpi="1200" verticalDpi="1200" orientation="portrait" scale="94" r:id="rId3"/>
  <colBreaks count="1" manualBreakCount="1">
    <brk id="14" max="16383" man="1"/>
  </colBreaks>
  <legacyDrawing r:id="rId2"/>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V66"/>
  <sheetViews>
    <sheetView showGridLines="0" workbookViewId="0" topLeftCell="A21">
      <selection activeCell="M43" sqref="M43:N43"/>
    </sheetView>
  </sheetViews>
  <sheetFormatPr defaultColWidth="9.00390625" defaultRowHeight="11.25"/>
  <cols>
    <col min="1" max="1" width="4.625" style="1" customWidth="1"/>
    <col min="2" max="5" width="9.00390625" style="1" customWidth="1"/>
    <col min="6" max="6" width="7.125" style="1" customWidth="1"/>
    <col min="7" max="8" width="9.125" style="1" customWidth="1"/>
    <col min="9" max="9" width="1.75390625" style="1" customWidth="1"/>
    <col min="10" max="11" width="9.125" style="1" customWidth="1"/>
    <col min="12" max="12" width="1.75390625" style="1" customWidth="1"/>
    <col min="13" max="14" width="9.125" style="1" customWidth="1"/>
    <col min="15" max="15" width="3.75390625" style="10" customWidth="1"/>
    <col min="16" max="16384" width="9.00390625" style="10" customWidth="1"/>
  </cols>
  <sheetData>
    <row r="1" spans="1:14" s="12" customFormat="1" ht="11.25">
      <c r="A1" s="17" t="s">
        <v>88</v>
      </c>
      <c r="B1" s="18"/>
      <c r="C1" s="18"/>
      <c r="D1" s="18"/>
      <c r="E1" s="18"/>
      <c r="F1" s="18"/>
      <c r="G1" s="18"/>
      <c r="H1" s="18"/>
      <c r="I1" s="18"/>
      <c r="J1" s="18"/>
      <c r="K1" s="18"/>
      <c r="L1" s="18"/>
      <c r="M1" s="18"/>
      <c r="N1" s="19"/>
    </row>
    <row r="2" spans="1:16" s="12" customFormat="1" ht="11.25">
      <c r="A2" s="20" t="s">
        <v>89</v>
      </c>
      <c r="B2" s="15"/>
      <c r="C2" s="15"/>
      <c r="D2" s="15"/>
      <c r="E2" s="15"/>
      <c r="F2" s="15"/>
      <c r="G2" s="328" t="s">
        <v>26</v>
      </c>
      <c r="H2" s="328"/>
      <c r="I2" s="328"/>
      <c r="J2" s="328"/>
      <c r="K2" s="328"/>
      <c r="L2" s="328"/>
      <c r="M2" s="328"/>
      <c r="N2" s="329"/>
      <c r="P2" s="43" t="s">
        <v>27</v>
      </c>
    </row>
    <row r="3" spans="1:14" ht="11.25">
      <c r="A3" s="45"/>
      <c r="B3" s="2"/>
      <c r="C3" s="2"/>
      <c r="D3" s="2"/>
      <c r="E3" s="2"/>
      <c r="F3" s="16" t="s">
        <v>14</v>
      </c>
      <c r="G3" s="330">
        <v>19</v>
      </c>
      <c r="H3" s="327"/>
      <c r="I3" s="2"/>
      <c r="J3" s="330">
        <v>18</v>
      </c>
      <c r="K3" s="327"/>
      <c r="L3" s="2"/>
      <c r="M3" s="330">
        <v>17</v>
      </c>
      <c r="N3" s="331"/>
    </row>
    <row r="4" spans="1:14" ht="11.25">
      <c r="A4" s="20"/>
      <c r="B4" s="2"/>
      <c r="C4" s="2"/>
      <c r="D4" s="2"/>
      <c r="E4" s="2"/>
      <c r="F4" s="16" t="s">
        <v>15</v>
      </c>
      <c r="G4" s="330" t="s">
        <v>80</v>
      </c>
      <c r="H4" s="327"/>
      <c r="I4" s="2"/>
      <c r="J4" s="330" t="s">
        <v>81</v>
      </c>
      <c r="K4" s="327"/>
      <c r="L4" s="2"/>
      <c r="M4" s="330" t="s">
        <v>82</v>
      </c>
      <c r="N4" s="331"/>
    </row>
    <row r="5" spans="1:14" ht="11.25">
      <c r="A5" s="20"/>
      <c r="B5" s="2"/>
      <c r="C5" s="2"/>
      <c r="D5" s="2"/>
      <c r="E5" s="2"/>
      <c r="F5" s="16" t="s">
        <v>16</v>
      </c>
      <c r="G5" s="321" t="s">
        <v>99</v>
      </c>
      <c r="H5" s="322"/>
      <c r="I5" s="2"/>
      <c r="J5" s="28"/>
      <c r="K5" s="28"/>
      <c r="L5" s="28"/>
      <c r="M5" s="28"/>
      <c r="N5" s="33"/>
    </row>
    <row r="6" spans="1:14" ht="11.25">
      <c r="A6" s="20"/>
      <c r="B6" s="2"/>
      <c r="C6" s="2"/>
      <c r="D6" s="2"/>
      <c r="E6" s="2"/>
      <c r="F6" s="16" t="s">
        <v>17</v>
      </c>
      <c r="G6" s="323" t="s">
        <v>161</v>
      </c>
      <c r="H6" s="323"/>
      <c r="I6" s="2"/>
      <c r="J6" s="28"/>
      <c r="K6" s="28"/>
      <c r="L6" s="28"/>
      <c r="M6" s="28"/>
      <c r="N6" s="33"/>
    </row>
    <row r="7" spans="1:14" ht="11.25">
      <c r="A7" s="20"/>
      <c r="B7" s="2"/>
      <c r="C7" s="2"/>
      <c r="D7" s="2"/>
      <c r="E7" s="2"/>
      <c r="F7" s="16" t="s">
        <v>33</v>
      </c>
      <c r="G7" s="324" t="s">
        <v>101</v>
      </c>
      <c r="H7" s="325"/>
      <c r="I7" s="2"/>
      <c r="J7" s="28"/>
      <c r="K7" s="28"/>
      <c r="L7" s="28"/>
      <c r="M7" s="28"/>
      <c r="N7" s="33"/>
    </row>
    <row r="8" spans="1:14" ht="11.25">
      <c r="A8" s="20"/>
      <c r="B8" s="2"/>
      <c r="C8" s="2"/>
      <c r="D8" s="2"/>
      <c r="E8" s="2"/>
      <c r="F8" s="16" t="s">
        <v>18</v>
      </c>
      <c r="G8" s="326">
        <v>43940</v>
      </c>
      <c r="H8" s="327"/>
      <c r="I8" s="2"/>
      <c r="J8" s="28"/>
      <c r="K8" s="28"/>
      <c r="L8" s="28"/>
      <c r="M8" s="28"/>
      <c r="N8" s="33"/>
    </row>
    <row r="9" spans="1:14" ht="12.75">
      <c r="A9" s="21" t="s">
        <v>2</v>
      </c>
      <c r="B9" s="22"/>
      <c r="C9" s="4"/>
      <c r="D9" s="4"/>
      <c r="E9" s="3"/>
      <c r="F9" s="3"/>
      <c r="G9" s="319"/>
      <c r="H9" s="319"/>
      <c r="I9" s="3"/>
      <c r="J9" s="319"/>
      <c r="K9" s="319"/>
      <c r="L9" s="3"/>
      <c r="M9" s="319"/>
      <c r="N9" s="320"/>
    </row>
    <row r="10" spans="1:15" ht="12.75">
      <c r="A10" s="20"/>
      <c r="B10" s="22" t="s">
        <v>56</v>
      </c>
      <c r="C10" s="4"/>
      <c r="D10" s="4"/>
      <c r="E10" s="3"/>
      <c r="F10" s="29"/>
      <c r="G10" s="58"/>
      <c r="H10" s="58"/>
      <c r="I10" s="5"/>
      <c r="J10" s="58"/>
      <c r="K10" s="58"/>
      <c r="L10" s="5"/>
      <c r="M10" s="58"/>
      <c r="N10" s="59"/>
      <c r="O10" s="11"/>
    </row>
    <row r="11" spans="1:16" ht="11.25">
      <c r="A11" s="20"/>
      <c r="B11" s="22"/>
      <c r="C11" s="6"/>
      <c r="D11" s="6"/>
      <c r="E11" s="7"/>
      <c r="F11" s="30" t="s">
        <v>7</v>
      </c>
      <c r="G11" s="313">
        <v>6500</v>
      </c>
      <c r="H11" s="314"/>
      <c r="I11" s="5"/>
      <c r="J11" s="313">
        <v>7266</v>
      </c>
      <c r="K11" s="314"/>
      <c r="L11" s="5"/>
      <c r="M11" s="313">
        <v>7616</v>
      </c>
      <c r="N11" s="315"/>
      <c r="P11" s="10" t="s">
        <v>28</v>
      </c>
    </row>
    <row r="12" spans="1:16" ht="12.75">
      <c r="A12" s="20"/>
      <c r="B12" s="22"/>
      <c r="C12" s="4"/>
      <c r="D12" s="4"/>
      <c r="E12" s="3"/>
      <c r="F12" s="29" t="s">
        <v>5</v>
      </c>
      <c r="G12" s="316">
        <v>-0.076</v>
      </c>
      <c r="H12" s="317"/>
      <c r="I12" s="5"/>
      <c r="J12" s="316">
        <v>0.063</v>
      </c>
      <c r="K12" s="317"/>
      <c r="L12" s="5"/>
      <c r="M12" s="316">
        <v>0.112</v>
      </c>
      <c r="N12" s="318"/>
      <c r="O12" s="11"/>
      <c r="P12" s="10" t="s">
        <v>29</v>
      </c>
    </row>
    <row r="13" spans="1:16" ht="12.75">
      <c r="A13" s="20"/>
      <c r="B13" s="22"/>
      <c r="C13" s="4"/>
      <c r="D13" s="4"/>
      <c r="E13" s="3"/>
      <c r="F13" s="29" t="s">
        <v>53</v>
      </c>
      <c r="G13" s="313">
        <v>2</v>
      </c>
      <c r="H13" s="314"/>
      <c r="I13" s="5"/>
      <c r="J13" s="313">
        <v>2</v>
      </c>
      <c r="K13" s="314"/>
      <c r="L13" s="5"/>
      <c r="M13" s="313">
        <v>2</v>
      </c>
      <c r="N13" s="315"/>
      <c r="O13" s="11"/>
      <c r="P13" s="10" t="s">
        <v>71</v>
      </c>
    </row>
    <row r="14" spans="1:16" ht="12.75">
      <c r="A14" s="20"/>
      <c r="B14" s="22"/>
      <c r="C14" s="4"/>
      <c r="D14" s="4"/>
      <c r="E14" s="3"/>
      <c r="F14" s="29" t="s">
        <v>54</v>
      </c>
      <c r="G14" s="313">
        <v>17</v>
      </c>
      <c r="H14" s="314"/>
      <c r="I14" s="5"/>
      <c r="J14" s="313">
        <v>24</v>
      </c>
      <c r="K14" s="314"/>
      <c r="L14" s="5"/>
      <c r="M14" s="313">
        <v>20</v>
      </c>
      <c r="N14" s="315"/>
      <c r="O14" s="11"/>
      <c r="P14" s="10" t="s">
        <v>70</v>
      </c>
    </row>
    <row r="15" spans="1:16" ht="12.75">
      <c r="A15" s="20"/>
      <c r="B15" s="22"/>
      <c r="C15" s="4"/>
      <c r="D15" s="4"/>
      <c r="E15" s="3"/>
      <c r="F15" s="29" t="s">
        <v>55</v>
      </c>
      <c r="G15" s="313">
        <v>9</v>
      </c>
      <c r="H15" s="314"/>
      <c r="I15" s="5"/>
      <c r="J15" s="313">
        <v>8</v>
      </c>
      <c r="K15" s="314"/>
      <c r="L15" s="5"/>
      <c r="M15" s="313">
        <v>6</v>
      </c>
      <c r="N15" s="315"/>
      <c r="O15" s="11"/>
      <c r="P15" s="10" t="s">
        <v>69</v>
      </c>
    </row>
    <row r="16" spans="1:16" ht="12.75">
      <c r="A16" s="20"/>
      <c r="B16" s="22"/>
      <c r="C16" s="4"/>
      <c r="D16" s="4"/>
      <c r="E16" s="3"/>
      <c r="F16" s="29" t="s">
        <v>78</v>
      </c>
      <c r="G16" s="313">
        <v>10</v>
      </c>
      <c r="H16" s="314"/>
      <c r="I16" s="5"/>
      <c r="J16" s="313">
        <v>10</v>
      </c>
      <c r="K16" s="314"/>
      <c r="L16" s="5"/>
      <c r="M16" s="313">
        <v>11</v>
      </c>
      <c r="N16" s="315"/>
      <c r="O16" s="11"/>
      <c r="P16" s="10" t="s">
        <v>86</v>
      </c>
    </row>
    <row r="17" spans="1:15" ht="12.75">
      <c r="A17" s="20"/>
      <c r="B17" s="22" t="s">
        <v>57</v>
      </c>
      <c r="C17" s="4"/>
      <c r="D17" s="4"/>
      <c r="E17" s="3"/>
      <c r="F17" s="29"/>
      <c r="G17" s="58"/>
      <c r="H17" s="58"/>
      <c r="I17" s="5"/>
      <c r="J17" s="58"/>
      <c r="K17" s="58"/>
      <c r="L17" s="5"/>
      <c r="M17" s="58"/>
      <c r="N17" s="59"/>
      <c r="O17" s="11"/>
    </row>
    <row r="18" spans="1:16" ht="11.25">
      <c r="A18" s="20"/>
      <c r="B18" s="22"/>
      <c r="C18" s="6"/>
      <c r="D18" s="6"/>
      <c r="E18" s="7"/>
      <c r="F18" s="30" t="s">
        <v>7</v>
      </c>
      <c r="G18" s="313"/>
      <c r="H18" s="314"/>
      <c r="I18" s="5"/>
      <c r="J18" s="313"/>
      <c r="K18" s="314"/>
      <c r="L18" s="5"/>
      <c r="M18" s="313"/>
      <c r="N18" s="315"/>
      <c r="P18" s="10" t="s">
        <v>28</v>
      </c>
    </row>
    <row r="19" spans="1:16" ht="12.75">
      <c r="A19" s="20"/>
      <c r="B19" s="22"/>
      <c r="C19" s="4"/>
      <c r="D19" s="4"/>
      <c r="E19" s="3"/>
      <c r="F19" s="29" t="s">
        <v>5</v>
      </c>
      <c r="G19" s="316"/>
      <c r="H19" s="317"/>
      <c r="I19" s="5"/>
      <c r="J19" s="316"/>
      <c r="K19" s="317"/>
      <c r="L19" s="5"/>
      <c r="M19" s="316"/>
      <c r="N19" s="318"/>
      <c r="O19" s="11"/>
      <c r="P19" s="10" t="s">
        <v>29</v>
      </c>
    </row>
    <row r="20" spans="1:16" ht="12.75">
      <c r="A20" s="20"/>
      <c r="B20" s="22"/>
      <c r="C20" s="4"/>
      <c r="D20" s="4"/>
      <c r="E20" s="3"/>
      <c r="F20" s="29" t="s">
        <v>58</v>
      </c>
      <c r="G20" s="313"/>
      <c r="H20" s="314"/>
      <c r="I20" s="5"/>
      <c r="J20" s="313"/>
      <c r="K20" s="314"/>
      <c r="L20" s="5"/>
      <c r="M20" s="313"/>
      <c r="N20" s="315"/>
      <c r="O20" s="11"/>
      <c r="P20" s="10" t="s">
        <v>71</v>
      </c>
    </row>
    <row r="21" spans="1:16" ht="12.75">
      <c r="A21" s="20"/>
      <c r="B21" s="22"/>
      <c r="C21" s="4"/>
      <c r="D21" s="4"/>
      <c r="E21" s="3"/>
      <c r="F21" s="29" t="s">
        <v>59</v>
      </c>
      <c r="G21" s="313"/>
      <c r="H21" s="314"/>
      <c r="I21" s="5"/>
      <c r="J21" s="313"/>
      <c r="K21" s="314"/>
      <c r="L21" s="5"/>
      <c r="M21" s="313"/>
      <c r="N21" s="315"/>
      <c r="O21" s="11"/>
      <c r="P21" s="10" t="s">
        <v>83</v>
      </c>
    </row>
    <row r="22" spans="1:16" ht="12.75">
      <c r="A22" s="20"/>
      <c r="B22" s="22"/>
      <c r="C22" s="4"/>
      <c r="D22" s="4"/>
      <c r="E22" s="3"/>
      <c r="F22" s="29" t="s">
        <v>78</v>
      </c>
      <c r="G22" s="313"/>
      <c r="H22" s="314"/>
      <c r="I22" s="5"/>
      <c r="J22" s="313"/>
      <c r="K22" s="314"/>
      <c r="L22" s="5"/>
      <c r="M22" s="313"/>
      <c r="N22" s="315"/>
      <c r="O22" s="11"/>
      <c r="P22" s="10" t="s">
        <v>86</v>
      </c>
    </row>
    <row r="23" spans="1:14" ht="11.25">
      <c r="A23" s="20"/>
      <c r="B23" s="4" t="s">
        <v>6</v>
      </c>
      <c r="C23" s="4"/>
      <c r="D23" s="4"/>
      <c r="E23" s="3"/>
      <c r="F23" s="3"/>
      <c r="G23" s="23"/>
      <c r="H23" s="23"/>
      <c r="I23" s="5"/>
      <c r="J23" s="23"/>
      <c r="K23" s="23"/>
      <c r="L23" s="5"/>
      <c r="M23" s="23"/>
      <c r="N23" s="24"/>
    </row>
    <row r="24" spans="1:16" ht="11.25">
      <c r="A24" s="20"/>
      <c r="B24" s="22"/>
      <c r="C24" s="4"/>
      <c r="D24" s="4"/>
      <c r="E24" s="3"/>
      <c r="F24" s="29" t="s">
        <v>20</v>
      </c>
      <c r="G24" s="293">
        <v>0.064</v>
      </c>
      <c r="H24" s="294"/>
      <c r="I24" s="3"/>
      <c r="J24" s="293">
        <v>0.079</v>
      </c>
      <c r="K24" s="294"/>
      <c r="L24" s="3"/>
      <c r="M24" s="293">
        <v>0.063</v>
      </c>
      <c r="N24" s="295"/>
      <c r="P24" s="10" t="s">
        <v>30</v>
      </c>
    </row>
    <row r="25" spans="1:16" ht="11.25">
      <c r="A25" s="20"/>
      <c r="B25" s="22"/>
      <c r="C25" s="4"/>
      <c r="D25" s="4"/>
      <c r="E25" s="3"/>
      <c r="F25" s="29" t="s">
        <v>21</v>
      </c>
      <c r="G25" s="293">
        <v>0.936</v>
      </c>
      <c r="H25" s="294"/>
      <c r="I25" s="3"/>
      <c r="J25" s="293">
        <v>0.921</v>
      </c>
      <c r="K25" s="294"/>
      <c r="L25" s="3"/>
      <c r="M25" s="293">
        <v>0.937</v>
      </c>
      <c r="N25" s="295"/>
      <c r="P25" s="10" t="s">
        <v>31</v>
      </c>
    </row>
    <row r="26" spans="1:14" ht="11.25">
      <c r="A26" s="62" t="s">
        <v>60</v>
      </c>
      <c r="B26" s="22"/>
      <c r="C26" s="4"/>
      <c r="D26" s="4"/>
      <c r="E26" s="3"/>
      <c r="F26" s="29"/>
      <c r="G26" s="60"/>
      <c r="H26" s="60"/>
      <c r="I26" s="5"/>
      <c r="J26" s="60"/>
      <c r="K26" s="60"/>
      <c r="L26" s="5"/>
      <c r="M26" s="60"/>
      <c r="N26" s="61"/>
    </row>
    <row r="27" spans="1:16" ht="11.25">
      <c r="A27" s="20"/>
      <c r="B27" s="22"/>
      <c r="C27" s="4"/>
      <c r="D27" s="4"/>
      <c r="E27" s="3"/>
      <c r="F27" s="29" t="s">
        <v>61</v>
      </c>
      <c r="G27" s="313">
        <f>411335.4-G28</f>
        <v>400502.5</v>
      </c>
      <c r="H27" s="314"/>
      <c r="I27" s="5"/>
      <c r="J27" s="313">
        <f>405516.55-J28</f>
        <v>394976.66</v>
      </c>
      <c r="K27" s="314"/>
      <c r="L27" s="5"/>
      <c r="M27" s="313">
        <f>375375.33-M28</f>
        <v>365067.37</v>
      </c>
      <c r="N27" s="315"/>
      <c r="P27" s="10" t="s">
        <v>91</v>
      </c>
    </row>
    <row r="28" spans="1:16" ht="11.25">
      <c r="A28" s="20"/>
      <c r="B28" s="22"/>
      <c r="C28" s="4"/>
      <c r="D28" s="4"/>
      <c r="E28" s="3"/>
      <c r="F28" s="29" t="s">
        <v>62</v>
      </c>
      <c r="G28" s="313">
        <v>10832.9</v>
      </c>
      <c r="H28" s="314"/>
      <c r="I28" s="5"/>
      <c r="J28" s="313">
        <v>10539.89</v>
      </c>
      <c r="K28" s="314"/>
      <c r="L28" s="5"/>
      <c r="M28" s="313">
        <v>10307.96</v>
      </c>
      <c r="N28" s="315"/>
      <c r="P28" s="10" t="s">
        <v>91</v>
      </c>
    </row>
    <row r="29" spans="1:16" ht="11.25">
      <c r="A29" s="20"/>
      <c r="B29" s="22"/>
      <c r="C29" s="4"/>
      <c r="D29" s="4"/>
      <c r="E29" s="3"/>
      <c r="F29" s="29" t="s">
        <v>63</v>
      </c>
      <c r="G29" s="310">
        <v>124172.44</v>
      </c>
      <c r="H29" s="311"/>
      <c r="I29" s="5"/>
      <c r="J29" s="310">
        <v>118463.29</v>
      </c>
      <c r="K29" s="311"/>
      <c r="L29" s="5"/>
      <c r="M29" s="310">
        <v>104389.88</v>
      </c>
      <c r="N29" s="312"/>
      <c r="P29" s="10" t="s">
        <v>90</v>
      </c>
    </row>
    <row r="30" spans="1:14" ht="11.25">
      <c r="A30" s="20"/>
      <c r="B30" s="22"/>
      <c r="C30" s="4"/>
      <c r="D30" s="4"/>
      <c r="E30" s="3"/>
      <c r="F30" s="29"/>
      <c r="G30" s="73"/>
      <c r="H30" s="74"/>
      <c r="I30" s="5"/>
      <c r="J30" s="73"/>
      <c r="K30" s="74"/>
      <c r="L30" s="5"/>
      <c r="M30" s="73"/>
      <c r="N30" s="75"/>
    </row>
    <row r="31" spans="1:18" ht="11.25">
      <c r="A31" s="20"/>
      <c r="B31" s="4"/>
      <c r="C31" s="4"/>
      <c r="D31" s="4"/>
      <c r="E31" s="3"/>
      <c r="F31" s="63" t="s">
        <v>64</v>
      </c>
      <c r="G31" s="299">
        <f>(SUM(G27:G29))/(G11+G18)</f>
        <v>82.38582153846156</v>
      </c>
      <c r="H31" s="300"/>
      <c r="I31" s="22"/>
      <c r="J31" s="299">
        <f>SUM(J27:K29)/(J11+J18)</f>
        <v>72.11393338838425</v>
      </c>
      <c r="K31" s="300"/>
      <c r="L31" s="22"/>
      <c r="M31" s="299">
        <f>SUM(M27:N29)/(M11+M18)</f>
        <v>62.994381565126055</v>
      </c>
      <c r="N31" s="301"/>
      <c r="O31"/>
      <c r="P31" t="s">
        <v>32</v>
      </c>
      <c r="Q31"/>
      <c r="R31"/>
    </row>
    <row r="32" spans="1:14" ht="11.25">
      <c r="A32" s="21" t="s">
        <v>3</v>
      </c>
      <c r="B32" s="22"/>
      <c r="C32" s="4"/>
      <c r="D32" s="4"/>
      <c r="E32" s="3"/>
      <c r="F32" s="3"/>
      <c r="G32" s="8"/>
      <c r="H32" s="8"/>
      <c r="I32" s="3"/>
      <c r="J32" s="8"/>
      <c r="K32" s="8"/>
      <c r="L32" s="3"/>
      <c r="M32" s="8"/>
      <c r="N32" s="25"/>
    </row>
    <row r="33" spans="1:22" ht="11.25">
      <c r="A33" s="20"/>
      <c r="B33" s="22"/>
      <c r="C33" s="4"/>
      <c r="D33" s="48"/>
      <c r="E33" s="49"/>
      <c r="F33" s="50" t="s">
        <v>43</v>
      </c>
      <c r="G33" s="302">
        <f>3.3</f>
        <v>3.3</v>
      </c>
      <c r="H33" s="303"/>
      <c r="I33" s="56"/>
      <c r="J33" s="302">
        <v>3.8</v>
      </c>
      <c r="K33" s="303"/>
      <c r="L33" s="56"/>
      <c r="M33" s="302">
        <v>2.9</v>
      </c>
      <c r="N33" s="304"/>
      <c r="O33"/>
      <c r="P33" s="46" t="s">
        <v>47</v>
      </c>
      <c r="Q33" s="47"/>
      <c r="R33" s="47"/>
      <c r="S33" s="46"/>
      <c r="T33" s="46"/>
      <c r="U33" s="46"/>
      <c r="V33" s="46"/>
    </row>
    <row r="34" spans="1:22" ht="11.25">
      <c r="A34" s="20"/>
      <c r="B34" s="22"/>
      <c r="C34" s="4"/>
      <c r="D34" s="48"/>
      <c r="E34" s="49"/>
      <c r="F34" s="50" t="s">
        <v>44</v>
      </c>
      <c r="G34" s="302">
        <f>2/36*45</f>
        <v>2.5</v>
      </c>
      <c r="H34" s="303"/>
      <c r="I34" s="56"/>
      <c r="J34" s="302">
        <f>1/36*45</f>
        <v>1.25</v>
      </c>
      <c r="K34" s="303"/>
      <c r="L34" s="56"/>
      <c r="M34" s="302">
        <f>1/36*45</f>
        <v>1.25</v>
      </c>
      <c r="N34" s="304"/>
      <c r="O34"/>
      <c r="P34" s="46" t="s">
        <v>48</v>
      </c>
      <c r="Q34" s="47"/>
      <c r="R34" s="47"/>
      <c r="S34" s="46"/>
      <c r="T34" s="46"/>
      <c r="U34" s="46"/>
      <c r="V34" s="46"/>
    </row>
    <row r="35" spans="1:22" ht="11.25">
      <c r="A35" s="20"/>
      <c r="B35" s="22"/>
      <c r="C35" s="4"/>
      <c r="D35" s="48"/>
      <c r="E35" s="49"/>
      <c r="F35" s="50" t="s">
        <v>45</v>
      </c>
      <c r="G35" s="307">
        <f>2/36*45</f>
        <v>2.5</v>
      </c>
      <c r="H35" s="308"/>
      <c r="I35" s="56"/>
      <c r="J35" s="307">
        <f>2/36*45</f>
        <v>2.5</v>
      </c>
      <c r="K35" s="308"/>
      <c r="L35" s="56"/>
      <c r="M35" s="307">
        <f>2/36*45</f>
        <v>2.5</v>
      </c>
      <c r="N35" s="309"/>
      <c r="O35"/>
      <c r="P35" s="46" t="s">
        <v>50</v>
      </c>
      <c r="Q35" s="47"/>
      <c r="R35" s="47"/>
      <c r="S35" s="46"/>
      <c r="T35" s="46"/>
      <c r="U35" s="46"/>
      <c r="V35" s="46"/>
    </row>
    <row r="36" spans="1:22" ht="11.25">
      <c r="A36" s="20"/>
      <c r="B36" s="22"/>
      <c r="C36" s="4"/>
      <c r="D36" s="48"/>
      <c r="E36" s="49"/>
      <c r="F36" s="50" t="s">
        <v>46</v>
      </c>
      <c r="G36" s="305">
        <v>0</v>
      </c>
      <c r="H36" s="305"/>
      <c r="I36" s="56"/>
      <c r="J36" s="305">
        <v>0</v>
      </c>
      <c r="K36" s="305"/>
      <c r="L36" s="56"/>
      <c r="M36" s="305">
        <v>0</v>
      </c>
      <c r="N36" s="306"/>
      <c r="O36"/>
      <c r="P36" s="46" t="s">
        <v>49</v>
      </c>
      <c r="Q36" s="47"/>
      <c r="R36" s="47"/>
      <c r="S36" s="46"/>
      <c r="T36" s="46"/>
      <c r="U36" s="46"/>
      <c r="V36" s="46"/>
    </row>
    <row r="37" spans="1:18" s="69" customFormat="1" ht="11.25">
      <c r="A37" s="64"/>
      <c r="B37" s="65"/>
      <c r="C37" s="66"/>
      <c r="D37" s="66"/>
      <c r="E37" s="5"/>
      <c r="F37" s="67"/>
      <c r="G37" s="70"/>
      <c r="H37" s="70"/>
      <c r="I37" s="68"/>
      <c r="J37" s="70"/>
      <c r="K37" s="70"/>
      <c r="L37" s="68"/>
      <c r="M37" s="70"/>
      <c r="N37" s="71"/>
      <c r="O37" s="12"/>
      <c r="Q37" s="12"/>
      <c r="R37" s="12"/>
    </row>
    <row r="38" spans="1:22" ht="11.25">
      <c r="A38" s="20"/>
      <c r="B38" s="22"/>
      <c r="C38" s="4"/>
      <c r="D38" s="48"/>
      <c r="E38" s="49"/>
      <c r="F38" s="50" t="s">
        <v>66</v>
      </c>
      <c r="G38" s="305">
        <v>3180</v>
      </c>
      <c r="H38" s="305"/>
      <c r="I38" s="56"/>
      <c r="J38" s="305">
        <v>2657</v>
      </c>
      <c r="K38" s="305"/>
      <c r="L38" s="56"/>
      <c r="M38" s="305">
        <v>3295</v>
      </c>
      <c r="N38" s="306"/>
      <c r="O38"/>
      <c r="P38" s="46" t="s">
        <v>72</v>
      </c>
      <c r="Q38" s="47"/>
      <c r="R38" s="47"/>
      <c r="S38" s="46"/>
      <c r="T38" s="46"/>
      <c r="U38" s="46"/>
      <c r="V38" s="46"/>
    </row>
    <row r="39" spans="1:22" ht="11.25">
      <c r="A39" s="20"/>
      <c r="B39" s="22"/>
      <c r="C39" s="4"/>
      <c r="D39" s="48"/>
      <c r="E39" s="49"/>
      <c r="F39" s="50" t="s">
        <v>65</v>
      </c>
      <c r="G39" s="299">
        <v>920</v>
      </c>
      <c r="H39" s="300"/>
      <c r="I39" s="56"/>
      <c r="J39" s="299">
        <v>1730</v>
      </c>
      <c r="K39" s="300"/>
      <c r="L39" s="56"/>
      <c r="M39" s="299">
        <v>1310</v>
      </c>
      <c r="N39" s="301"/>
      <c r="O39"/>
      <c r="P39" s="46" t="s">
        <v>73</v>
      </c>
      <c r="Q39" s="47"/>
      <c r="R39" s="47"/>
      <c r="S39" s="46"/>
      <c r="T39" s="46"/>
      <c r="U39" s="46"/>
      <c r="V39" s="46"/>
    </row>
    <row r="40" spans="1:22" ht="11.25">
      <c r="A40" s="20"/>
      <c r="B40" s="22"/>
      <c r="C40" s="4"/>
      <c r="D40" s="48"/>
      <c r="E40" s="49"/>
      <c r="F40" s="50" t="s">
        <v>67</v>
      </c>
      <c r="G40" s="302">
        <v>2400</v>
      </c>
      <c r="H40" s="303"/>
      <c r="I40" s="56"/>
      <c r="J40" s="302">
        <v>2684</v>
      </c>
      <c r="K40" s="303"/>
      <c r="L40" s="56"/>
      <c r="M40" s="302">
        <v>2546</v>
      </c>
      <c r="N40" s="304"/>
      <c r="O40"/>
      <c r="P40" s="46" t="s">
        <v>75</v>
      </c>
      <c r="Q40" s="47"/>
      <c r="R40" s="47"/>
      <c r="S40" s="46"/>
      <c r="T40" s="46"/>
      <c r="U40" s="46"/>
      <c r="V40" s="46"/>
    </row>
    <row r="41" spans="1:22" ht="11.25">
      <c r="A41" s="20"/>
      <c r="B41" s="22"/>
      <c r="C41" s="4"/>
      <c r="D41" s="48"/>
      <c r="E41" s="49"/>
      <c r="F41" s="50" t="s">
        <v>68</v>
      </c>
      <c r="G41" s="302">
        <v>0</v>
      </c>
      <c r="H41" s="303"/>
      <c r="I41" s="56"/>
      <c r="J41" s="302">
        <v>0</v>
      </c>
      <c r="K41" s="303"/>
      <c r="L41" s="56"/>
      <c r="M41" s="302">
        <v>0</v>
      </c>
      <c r="N41" s="304"/>
      <c r="O41"/>
      <c r="P41" s="46" t="s">
        <v>74</v>
      </c>
      <c r="Q41" s="47"/>
      <c r="R41" s="47"/>
      <c r="S41" s="46"/>
      <c r="T41" s="46"/>
      <c r="U41" s="46"/>
      <c r="V41" s="46"/>
    </row>
    <row r="42" spans="1:18" ht="11.25">
      <c r="A42" s="20"/>
      <c r="B42" s="4"/>
      <c r="C42" s="4"/>
      <c r="D42" s="4"/>
      <c r="E42" s="3"/>
      <c r="F42" s="3"/>
      <c r="G42" s="9"/>
      <c r="H42" s="9"/>
      <c r="I42" s="22"/>
      <c r="J42" s="9"/>
      <c r="K42" s="9"/>
      <c r="L42" s="22"/>
      <c r="M42" s="9"/>
      <c r="N42" s="26"/>
      <c r="O42"/>
      <c r="P42"/>
      <c r="Q42"/>
      <c r="R42"/>
    </row>
    <row r="43" spans="1:18" ht="11.25">
      <c r="A43" s="20"/>
      <c r="B43" s="22"/>
      <c r="C43" s="4"/>
      <c r="D43" s="4"/>
      <c r="E43" s="3"/>
      <c r="F43" s="29" t="s">
        <v>22</v>
      </c>
      <c r="G43" s="302">
        <f>+(G11+G18)/(G33+G34)</f>
        <v>1120.6896551724137</v>
      </c>
      <c r="H43" s="303"/>
      <c r="I43" s="22"/>
      <c r="J43" s="302">
        <f>+(J11+J18)/(J33+J34)</f>
        <v>1438.8118811881188</v>
      </c>
      <c r="K43" s="303"/>
      <c r="L43" s="22"/>
      <c r="M43" s="302" t="s">
        <v>704</v>
      </c>
      <c r="N43" s="303"/>
      <c r="O43"/>
      <c r="P43" t="s">
        <v>32</v>
      </c>
      <c r="Q43"/>
      <c r="R43"/>
    </row>
    <row r="44" spans="1:18" ht="11.25">
      <c r="A44" s="20"/>
      <c r="B44" s="22"/>
      <c r="C44" s="4"/>
      <c r="D44" s="4"/>
      <c r="E44" s="3"/>
      <c r="F44" s="29" t="s">
        <v>216</v>
      </c>
      <c r="G44" s="332">
        <f>(G11+G18)/SUM(G33:H36)</f>
        <v>783.1325301204819</v>
      </c>
      <c r="H44" s="332"/>
      <c r="I44" s="22"/>
      <c r="J44" s="332">
        <f>(J11+J18)/SUM(J33:K36)</f>
        <v>962.384105960265</v>
      </c>
      <c r="K44" s="332"/>
      <c r="L44" s="22"/>
      <c r="M44" s="332">
        <f>(M11+M18)/SUM(M33:N36)</f>
        <v>1145.2631578947369</v>
      </c>
      <c r="N44" s="332"/>
      <c r="O44"/>
      <c r="P44"/>
      <c r="Q44"/>
      <c r="R44"/>
    </row>
    <row r="45" spans="1:17" ht="11.25">
      <c r="A45" s="20"/>
      <c r="B45" s="4"/>
      <c r="C45" s="4"/>
      <c r="D45" s="4"/>
      <c r="E45" s="3"/>
      <c r="F45" s="3"/>
      <c r="G45" s="34" t="s">
        <v>24</v>
      </c>
      <c r="H45" s="34" t="s">
        <v>23</v>
      </c>
      <c r="I45" s="28"/>
      <c r="J45" s="34" t="s">
        <v>24</v>
      </c>
      <c r="K45" s="34" t="s">
        <v>23</v>
      </c>
      <c r="L45" s="28"/>
      <c r="M45" s="34" t="s">
        <v>24</v>
      </c>
      <c r="N45" s="35" t="s">
        <v>23</v>
      </c>
      <c r="O45" s="14"/>
      <c r="P45" s="13"/>
      <c r="Q45" s="31"/>
    </row>
    <row r="46" spans="1:22" ht="11.25">
      <c r="A46" s="20"/>
      <c r="B46" s="4"/>
      <c r="C46" s="4"/>
      <c r="D46" s="52"/>
      <c r="E46" s="53"/>
      <c r="F46" s="54" t="s">
        <v>25</v>
      </c>
      <c r="G46" s="76">
        <v>3.5</v>
      </c>
      <c r="H46" s="32">
        <f>G46/(G46+G47+G48+G49)</f>
        <v>1</v>
      </c>
      <c r="I46" s="28"/>
      <c r="J46" s="76">
        <v>3.5</v>
      </c>
      <c r="K46" s="32">
        <f>J46/(J46+J47+J48+J49)</f>
        <v>1</v>
      </c>
      <c r="L46" s="28"/>
      <c r="M46" s="76">
        <v>3.5</v>
      </c>
      <c r="N46" s="36">
        <f>M46/(M46+M47+M48+M49)</f>
        <v>1</v>
      </c>
      <c r="O46" s="14"/>
      <c r="P46" s="55" t="s">
        <v>84</v>
      </c>
      <c r="Q46" s="51"/>
      <c r="R46" s="55"/>
      <c r="S46" s="55"/>
      <c r="T46" s="55"/>
      <c r="U46" s="55"/>
      <c r="V46" s="55"/>
    </row>
    <row r="47" spans="1:22" ht="11.25">
      <c r="A47" s="20"/>
      <c r="B47" s="4"/>
      <c r="C47" s="4"/>
      <c r="D47" s="52"/>
      <c r="E47" s="53"/>
      <c r="F47" s="54" t="s">
        <v>13</v>
      </c>
      <c r="G47" s="76">
        <v>0</v>
      </c>
      <c r="H47" s="32">
        <f>G47/(G46+G47+G48+G49)</f>
        <v>0</v>
      </c>
      <c r="I47" s="28"/>
      <c r="J47" s="76">
        <v>0</v>
      </c>
      <c r="K47" s="32">
        <f>J47/(J46+J47+J48+J49)</f>
        <v>0</v>
      </c>
      <c r="L47" s="28"/>
      <c r="M47" s="76">
        <v>0</v>
      </c>
      <c r="N47" s="36">
        <f>M47/(M46+M47+M48+M49)</f>
        <v>0</v>
      </c>
      <c r="O47" s="14"/>
      <c r="P47" s="55" t="s">
        <v>84</v>
      </c>
      <c r="Q47" s="51"/>
      <c r="R47" s="55"/>
      <c r="S47" s="55"/>
      <c r="T47" s="55"/>
      <c r="U47" s="55"/>
      <c r="V47" s="55"/>
    </row>
    <row r="48" spans="1:22" ht="11.25">
      <c r="A48" s="20"/>
      <c r="B48" s="4"/>
      <c r="C48" s="4"/>
      <c r="D48" s="52"/>
      <c r="E48" s="53"/>
      <c r="F48" s="54" t="s">
        <v>51</v>
      </c>
      <c r="G48" s="76">
        <v>0</v>
      </c>
      <c r="H48" s="32">
        <f>G48/(G46+G47+G48+G49)</f>
        <v>0</v>
      </c>
      <c r="I48" s="28"/>
      <c r="J48" s="76">
        <v>0</v>
      </c>
      <c r="K48" s="32">
        <f>J48/(J46+J47+J48+J49)</f>
        <v>0</v>
      </c>
      <c r="L48" s="28"/>
      <c r="M48" s="76">
        <v>0</v>
      </c>
      <c r="N48" s="36">
        <f>M48/(M46+M47+M48+M49)</f>
        <v>0</v>
      </c>
      <c r="O48" s="14"/>
      <c r="P48" s="55" t="s">
        <v>85</v>
      </c>
      <c r="Q48" s="51"/>
      <c r="R48" s="55"/>
      <c r="S48" s="55"/>
      <c r="T48" s="55"/>
      <c r="U48" s="55"/>
      <c r="V48" s="55"/>
    </row>
    <row r="49" spans="1:22" ht="11.25">
      <c r="A49" s="20"/>
      <c r="B49" s="4"/>
      <c r="C49" s="4"/>
      <c r="D49" s="52"/>
      <c r="E49" s="53"/>
      <c r="F49" s="54" t="s">
        <v>52</v>
      </c>
      <c r="G49" s="76">
        <v>0</v>
      </c>
      <c r="H49" s="32">
        <f>G49/(G46+G47+G48+G49)</f>
        <v>0</v>
      </c>
      <c r="I49" s="28"/>
      <c r="J49" s="76">
        <v>0</v>
      </c>
      <c r="K49" s="32">
        <f>J49/(J46+J47+J48+J49)</f>
        <v>0</v>
      </c>
      <c r="L49" s="28"/>
      <c r="M49" s="76">
        <v>0</v>
      </c>
      <c r="N49" s="36">
        <f>M49/(M46+M47+M48+M49)</f>
        <v>0</v>
      </c>
      <c r="O49" s="14"/>
      <c r="P49" s="55" t="s">
        <v>85</v>
      </c>
      <c r="Q49" s="51"/>
      <c r="R49" s="55"/>
      <c r="S49" s="55"/>
      <c r="T49" s="55"/>
      <c r="U49" s="55"/>
      <c r="V49" s="55"/>
    </row>
    <row r="50" spans="1:14" ht="11.25">
      <c r="A50" s="21" t="s">
        <v>4</v>
      </c>
      <c r="B50" s="22"/>
      <c r="C50" s="4"/>
      <c r="D50" s="4"/>
      <c r="E50" s="3"/>
      <c r="F50" s="3"/>
      <c r="G50" s="8"/>
      <c r="H50" s="8"/>
      <c r="I50" s="3"/>
      <c r="J50" s="8"/>
      <c r="K50" s="8"/>
      <c r="L50" s="3"/>
      <c r="M50" s="8"/>
      <c r="N50" s="25"/>
    </row>
    <row r="51" spans="1:16" ht="11.25">
      <c r="A51" s="21"/>
      <c r="B51" s="22"/>
      <c r="C51" s="4"/>
      <c r="D51" s="4"/>
      <c r="E51" s="3"/>
      <c r="F51" s="63" t="s">
        <v>77</v>
      </c>
      <c r="G51" s="293">
        <v>0.9</v>
      </c>
      <c r="H51" s="294"/>
      <c r="I51" s="72"/>
      <c r="J51" s="293">
        <v>0.924</v>
      </c>
      <c r="K51" s="294"/>
      <c r="L51" s="72"/>
      <c r="M51" s="293">
        <v>0.929</v>
      </c>
      <c r="N51" s="295"/>
      <c r="P51" s="10" t="s">
        <v>87</v>
      </c>
    </row>
    <row r="52" spans="1:16" ht="11.25">
      <c r="A52" s="21"/>
      <c r="B52" s="22"/>
      <c r="C52" s="4"/>
      <c r="D52" s="4"/>
      <c r="E52" s="3"/>
      <c r="F52" s="63" t="s">
        <v>76</v>
      </c>
      <c r="G52" s="293">
        <v>0.138</v>
      </c>
      <c r="H52" s="294"/>
      <c r="I52" s="72"/>
      <c r="J52" s="293">
        <v>0.141</v>
      </c>
      <c r="K52" s="294"/>
      <c r="L52" s="72"/>
      <c r="M52" s="293">
        <v>0.094</v>
      </c>
      <c r="N52" s="295"/>
      <c r="P52" s="10" t="s">
        <v>79</v>
      </c>
    </row>
    <row r="53" spans="1:16" ht="11" customHeight="1">
      <c r="A53" s="20"/>
      <c r="B53" s="23"/>
      <c r="C53" s="4"/>
      <c r="D53" s="4"/>
      <c r="E53" s="3"/>
      <c r="F53" s="29" t="s">
        <v>10</v>
      </c>
      <c r="G53" s="296">
        <v>6</v>
      </c>
      <c r="H53" s="297"/>
      <c r="I53" s="3"/>
      <c r="J53" s="296">
        <v>8</v>
      </c>
      <c r="K53" s="297"/>
      <c r="L53" s="3"/>
      <c r="M53" s="296">
        <v>9</v>
      </c>
      <c r="N53" s="298"/>
      <c r="P53" s="10" t="s">
        <v>34</v>
      </c>
    </row>
    <row r="54" spans="1:16" ht="11.25">
      <c r="A54" s="20"/>
      <c r="B54" s="23"/>
      <c r="C54" s="4"/>
      <c r="D54" s="4"/>
      <c r="E54" s="3"/>
      <c r="F54" s="29" t="s">
        <v>8</v>
      </c>
      <c r="G54" s="296">
        <v>23</v>
      </c>
      <c r="H54" s="297"/>
      <c r="I54" s="14"/>
      <c r="J54" s="296">
        <v>28</v>
      </c>
      <c r="K54" s="297"/>
      <c r="L54" s="14"/>
      <c r="M54" s="296">
        <v>35</v>
      </c>
      <c r="N54" s="298"/>
      <c r="P54" s="10" t="s">
        <v>36</v>
      </c>
    </row>
    <row r="55" spans="1:16" ht="11.25">
      <c r="A55" s="20"/>
      <c r="B55" s="23"/>
      <c r="C55" s="4"/>
      <c r="D55" s="4"/>
      <c r="E55" s="3"/>
      <c r="F55" s="42" t="s">
        <v>11</v>
      </c>
      <c r="G55" s="296">
        <v>15.6</v>
      </c>
      <c r="H55" s="297"/>
      <c r="I55" s="3"/>
      <c r="J55" s="296">
        <v>17</v>
      </c>
      <c r="K55" s="297"/>
      <c r="L55" s="3"/>
      <c r="M55" s="296">
        <v>16</v>
      </c>
      <c r="N55" s="298"/>
      <c r="P55" s="10" t="s">
        <v>42</v>
      </c>
    </row>
    <row r="56" spans="1:19" ht="11.25">
      <c r="A56" s="20"/>
      <c r="B56" s="22"/>
      <c r="C56" s="4"/>
      <c r="D56" s="4"/>
      <c r="E56" s="3"/>
      <c r="F56" s="29" t="s">
        <v>9</v>
      </c>
      <c r="G56" s="293">
        <v>0.93</v>
      </c>
      <c r="H56" s="294"/>
      <c r="I56" s="3"/>
      <c r="J56" s="293">
        <v>0.99</v>
      </c>
      <c r="K56" s="294"/>
      <c r="L56" s="3"/>
      <c r="M56" s="293">
        <v>1</v>
      </c>
      <c r="N56" s="295"/>
      <c r="P56" s="10" t="s">
        <v>37</v>
      </c>
      <c r="Q56"/>
      <c r="R56"/>
      <c r="S56"/>
    </row>
    <row r="57" spans="1:19" ht="11.25">
      <c r="A57" s="20"/>
      <c r="B57" s="22"/>
      <c r="C57" s="4"/>
      <c r="D57" s="4"/>
      <c r="E57" s="27"/>
      <c r="F57" s="29" t="s">
        <v>12</v>
      </c>
      <c r="G57" s="296">
        <v>0</v>
      </c>
      <c r="H57" s="297"/>
      <c r="I57" s="28"/>
      <c r="J57" s="296">
        <v>0</v>
      </c>
      <c r="K57" s="297"/>
      <c r="L57" s="28"/>
      <c r="M57" s="296">
        <v>0</v>
      </c>
      <c r="N57" s="298"/>
      <c r="P57" s="10" t="s">
        <v>38</v>
      </c>
      <c r="Q57"/>
      <c r="R57"/>
      <c r="S57"/>
    </row>
    <row r="58" spans="1:19" ht="11.25">
      <c r="A58" s="20"/>
      <c r="B58" s="22"/>
      <c r="C58" s="4"/>
      <c r="D58" s="4"/>
      <c r="E58" s="3"/>
      <c r="F58" s="29" t="s">
        <v>19</v>
      </c>
      <c r="G58" s="293">
        <v>0.109</v>
      </c>
      <c r="H58" s="294"/>
      <c r="I58" s="28"/>
      <c r="J58" s="293">
        <v>0.074</v>
      </c>
      <c r="K58" s="294"/>
      <c r="L58" s="28"/>
      <c r="M58" s="293">
        <v>0.039</v>
      </c>
      <c r="N58" s="295"/>
      <c r="P58" s="10" t="s">
        <v>39</v>
      </c>
      <c r="Q58"/>
      <c r="R58"/>
      <c r="S58"/>
    </row>
    <row r="59" spans="1:19" ht="11.25">
      <c r="A59" s="20"/>
      <c r="B59" s="22"/>
      <c r="C59" s="4"/>
      <c r="D59" s="4"/>
      <c r="E59" s="3"/>
      <c r="F59" s="29" t="s">
        <v>0</v>
      </c>
      <c r="G59" s="293">
        <v>0.027</v>
      </c>
      <c r="H59" s="294"/>
      <c r="I59" s="28"/>
      <c r="J59" s="293">
        <v>0.027</v>
      </c>
      <c r="K59" s="294"/>
      <c r="L59" s="28"/>
      <c r="M59" s="293">
        <v>0.061</v>
      </c>
      <c r="N59" s="295"/>
      <c r="P59" s="10" t="s">
        <v>40</v>
      </c>
      <c r="Q59"/>
      <c r="R59"/>
      <c r="S59"/>
    </row>
    <row r="60" spans="1:14" ht="11.25">
      <c r="A60" s="21" t="s">
        <v>1</v>
      </c>
      <c r="B60" s="28"/>
      <c r="C60" s="28"/>
      <c r="D60" s="28"/>
      <c r="E60" s="28"/>
      <c r="F60" s="28"/>
      <c r="G60" s="28"/>
      <c r="H60" s="28"/>
      <c r="I60" s="28"/>
      <c r="J60" s="28"/>
      <c r="K60" s="28"/>
      <c r="L60" s="28"/>
      <c r="M60" s="28"/>
      <c r="N60" s="33"/>
    </row>
    <row r="61" spans="1:16" ht="11.25">
      <c r="A61" s="37" t="s">
        <v>160</v>
      </c>
      <c r="B61" s="28"/>
      <c r="C61" s="28"/>
      <c r="D61" s="28"/>
      <c r="E61" s="28"/>
      <c r="F61" s="28"/>
      <c r="G61" s="28"/>
      <c r="H61" s="28"/>
      <c r="I61" s="28"/>
      <c r="J61" s="28"/>
      <c r="K61" s="28"/>
      <c r="L61" s="28"/>
      <c r="M61" s="28"/>
      <c r="N61" s="33"/>
      <c r="P61" t="s">
        <v>35</v>
      </c>
    </row>
    <row r="62" spans="1:14" ht="11.25">
      <c r="A62" s="38"/>
      <c r="B62" s="23"/>
      <c r="C62" s="23"/>
      <c r="D62" s="23"/>
      <c r="E62" s="23"/>
      <c r="F62" s="23"/>
      <c r="G62" s="23"/>
      <c r="H62" s="23"/>
      <c r="I62" s="23"/>
      <c r="J62" s="23"/>
      <c r="K62" s="23"/>
      <c r="L62" s="23"/>
      <c r="M62" s="23"/>
      <c r="N62" s="24"/>
    </row>
    <row r="63" spans="1:14" ht="11.25">
      <c r="A63" s="38"/>
      <c r="B63" s="23"/>
      <c r="C63" s="23"/>
      <c r="D63" s="23"/>
      <c r="E63" s="23"/>
      <c r="F63" s="23"/>
      <c r="G63" s="23"/>
      <c r="H63" s="23"/>
      <c r="I63" s="23"/>
      <c r="J63" s="23"/>
      <c r="K63" s="23"/>
      <c r="L63" s="23"/>
      <c r="M63" s="23"/>
      <c r="N63" s="24"/>
    </row>
    <row r="64" spans="1:16" ht="11.25">
      <c r="A64" s="38"/>
      <c r="B64" s="23"/>
      <c r="C64" s="23"/>
      <c r="D64" s="23"/>
      <c r="E64" s="23"/>
      <c r="F64" s="23"/>
      <c r="G64" s="23"/>
      <c r="H64" s="23"/>
      <c r="I64" s="23"/>
      <c r="J64" s="23"/>
      <c r="K64" s="23"/>
      <c r="L64" s="23"/>
      <c r="M64" s="23"/>
      <c r="N64" s="24"/>
      <c r="P64" s="44" t="s">
        <v>41</v>
      </c>
    </row>
    <row r="65" spans="1:14" ht="11.25">
      <c r="A65" s="38"/>
      <c r="B65" s="23"/>
      <c r="C65" s="23"/>
      <c r="D65" s="23"/>
      <c r="E65" s="23"/>
      <c r="F65" s="23"/>
      <c r="G65" s="23"/>
      <c r="H65" s="23"/>
      <c r="I65" s="23"/>
      <c r="J65" s="23"/>
      <c r="K65" s="23"/>
      <c r="L65" s="23"/>
      <c r="M65" s="23"/>
      <c r="N65" s="24"/>
    </row>
    <row r="66" spans="1:14" ht="12.75" thickBot="1">
      <c r="A66" s="39"/>
      <c r="B66" s="40"/>
      <c r="C66" s="40"/>
      <c r="D66" s="40"/>
      <c r="E66" s="40"/>
      <c r="F66" s="40"/>
      <c r="G66" s="40"/>
      <c r="H66" s="40"/>
      <c r="I66" s="40"/>
      <c r="J66" s="40"/>
      <c r="K66" s="40"/>
      <c r="L66" s="40"/>
      <c r="M66" s="40"/>
      <c r="N66" s="41"/>
    </row>
  </sheetData>
  <mergeCells count="122">
    <mergeCell ref="M12:N12"/>
    <mergeCell ref="G13:H13"/>
    <mergeCell ref="M21:N21"/>
    <mergeCell ref="G22:H22"/>
    <mergeCell ref="G14:H14"/>
    <mergeCell ref="J14:K14"/>
    <mergeCell ref="M14:N14"/>
    <mergeCell ref="G2:N2"/>
    <mergeCell ref="G3:H3"/>
    <mergeCell ref="J3:K3"/>
    <mergeCell ref="M3:N3"/>
    <mergeCell ref="G4:H4"/>
    <mergeCell ref="J4:K4"/>
    <mergeCell ref="M4:N4"/>
    <mergeCell ref="G5:H5"/>
    <mergeCell ref="G6:H6"/>
    <mergeCell ref="G7:H7"/>
    <mergeCell ref="G8:H8"/>
    <mergeCell ref="G9:H9"/>
    <mergeCell ref="J9:K9"/>
    <mergeCell ref="M9:N9"/>
    <mergeCell ref="G11:H11"/>
    <mergeCell ref="J11:K11"/>
    <mergeCell ref="M11:N11"/>
    <mergeCell ref="G12:H12"/>
    <mergeCell ref="J12:K12"/>
    <mergeCell ref="M33:N33"/>
    <mergeCell ref="G34:H34"/>
    <mergeCell ref="J13:K13"/>
    <mergeCell ref="M13:N13"/>
    <mergeCell ref="G24:H24"/>
    <mergeCell ref="J24:K24"/>
    <mergeCell ref="M24:N24"/>
    <mergeCell ref="G15:H15"/>
    <mergeCell ref="J15:K15"/>
    <mergeCell ref="M15:N15"/>
    <mergeCell ref="G16:H16"/>
    <mergeCell ref="J16:K16"/>
    <mergeCell ref="M16:N16"/>
    <mergeCell ref="G18:H18"/>
    <mergeCell ref="J18:K18"/>
    <mergeCell ref="M18:N18"/>
    <mergeCell ref="G19:H19"/>
    <mergeCell ref="J19:K19"/>
    <mergeCell ref="M19:N19"/>
    <mergeCell ref="G20:H20"/>
    <mergeCell ref="J20:K20"/>
    <mergeCell ref="M20:N20"/>
    <mergeCell ref="G21:H21"/>
    <mergeCell ref="J21:K21"/>
    <mergeCell ref="M43:N43"/>
    <mergeCell ref="G51:H51"/>
    <mergeCell ref="J22:K22"/>
    <mergeCell ref="M22:N22"/>
    <mergeCell ref="G35:H35"/>
    <mergeCell ref="J35:K35"/>
    <mergeCell ref="M35:N35"/>
    <mergeCell ref="G25:H25"/>
    <mergeCell ref="J25:K25"/>
    <mergeCell ref="M25:N25"/>
    <mergeCell ref="G27:H27"/>
    <mergeCell ref="J27:K27"/>
    <mergeCell ref="M27:N27"/>
    <mergeCell ref="G28:H28"/>
    <mergeCell ref="J28:K28"/>
    <mergeCell ref="M28:N28"/>
    <mergeCell ref="G29:H29"/>
    <mergeCell ref="J29:K29"/>
    <mergeCell ref="M29:N29"/>
    <mergeCell ref="G31:H31"/>
    <mergeCell ref="J31:K31"/>
    <mergeCell ref="M31:N31"/>
    <mergeCell ref="G33:H33"/>
    <mergeCell ref="J33:K33"/>
    <mergeCell ref="M55:N55"/>
    <mergeCell ref="G56:H56"/>
    <mergeCell ref="J34:K34"/>
    <mergeCell ref="M34:N34"/>
    <mergeCell ref="G52:H52"/>
    <mergeCell ref="J52:K52"/>
    <mergeCell ref="M52:N52"/>
    <mergeCell ref="G36:H36"/>
    <mergeCell ref="J36:K36"/>
    <mergeCell ref="M36:N36"/>
    <mergeCell ref="G38:H38"/>
    <mergeCell ref="J38:K38"/>
    <mergeCell ref="M38:N38"/>
    <mergeCell ref="G39:H39"/>
    <mergeCell ref="J39:K39"/>
    <mergeCell ref="M39:N39"/>
    <mergeCell ref="G40:H40"/>
    <mergeCell ref="J40:K40"/>
    <mergeCell ref="M40:N40"/>
    <mergeCell ref="G41:H41"/>
    <mergeCell ref="J41:K41"/>
    <mergeCell ref="M41:N41"/>
    <mergeCell ref="G43:H43"/>
    <mergeCell ref="J43:K43"/>
    <mergeCell ref="J56:K56"/>
    <mergeCell ref="M56:N56"/>
    <mergeCell ref="J51:K51"/>
    <mergeCell ref="M51:N51"/>
    <mergeCell ref="G44:H44"/>
    <mergeCell ref="J44:K44"/>
    <mergeCell ref="M44:N44"/>
    <mergeCell ref="G53:H53"/>
    <mergeCell ref="J53:K53"/>
    <mergeCell ref="M53:N53"/>
    <mergeCell ref="G54:H54"/>
    <mergeCell ref="J54:K54"/>
    <mergeCell ref="M54:N54"/>
    <mergeCell ref="G55:H55"/>
    <mergeCell ref="J55:K55"/>
    <mergeCell ref="G59:H59"/>
    <mergeCell ref="J59:K59"/>
    <mergeCell ref="M59:N59"/>
    <mergeCell ref="G57:H57"/>
    <mergeCell ref="J57:K57"/>
    <mergeCell ref="M57:N57"/>
    <mergeCell ref="G58:H58"/>
    <mergeCell ref="J58:K58"/>
    <mergeCell ref="M58:N58"/>
  </mergeCells>
  <printOptions/>
  <pageMargins left="0.25" right="0.25" top="0.75" bottom="0.75" header="0.3" footer="0.3"/>
  <pageSetup fitToHeight="1" fitToWidth="1" horizontalDpi="1200" verticalDpi="1200" orientation="portrait" scale="94" r:id="rId3"/>
  <colBreaks count="1" manualBreakCount="1">
    <brk id="14" max="16383" man="1"/>
  </colBreaks>
  <legacyDrawing r:id="rId2"/>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V66"/>
  <sheetViews>
    <sheetView showGridLines="0" workbookViewId="0" topLeftCell="A7">
      <selection activeCell="G31" sqref="G31:H31"/>
    </sheetView>
  </sheetViews>
  <sheetFormatPr defaultColWidth="9.00390625" defaultRowHeight="11.25"/>
  <cols>
    <col min="1" max="1" width="4.625" style="1" customWidth="1"/>
    <col min="2" max="5" width="9.00390625" style="1" customWidth="1"/>
    <col min="6" max="6" width="7.125" style="1" customWidth="1"/>
    <col min="7" max="8" width="9.125" style="1" customWidth="1"/>
    <col min="9" max="9" width="1.75390625" style="1" customWidth="1"/>
    <col min="10" max="11" width="9.125" style="1" customWidth="1"/>
    <col min="12" max="12" width="1.75390625" style="1" customWidth="1"/>
    <col min="13" max="14" width="9.125" style="1" customWidth="1"/>
    <col min="15" max="15" width="3.75390625" style="10" customWidth="1"/>
    <col min="16" max="16384" width="9.00390625" style="10" customWidth="1"/>
  </cols>
  <sheetData>
    <row r="1" spans="1:14" s="12" customFormat="1" ht="11.25">
      <c r="A1" s="17" t="s">
        <v>88</v>
      </c>
      <c r="B1" s="18"/>
      <c r="C1" s="18"/>
      <c r="D1" s="18"/>
      <c r="E1" s="18"/>
      <c r="F1" s="18"/>
      <c r="G1" s="18"/>
      <c r="H1" s="18"/>
      <c r="I1" s="18"/>
      <c r="J1" s="18"/>
      <c r="K1" s="18"/>
      <c r="L1" s="18"/>
      <c r="M1" s="18"/>
      <c r="N1" s="19"/>
    </row>
    <row r="2" spans="1:16" s="12" customFormat="1" ht="11.25">
      <c r="A2" s="20" t="s">
        <v>89</v>
      </c>
      <c r="B2" s="15"/>
      <c r="C2" s="15"/>
      <c r="D2" s="15"/>
      <c r="E2" s="15"/>
      <c r="F2" s="15"/>
      <c r="G2" s="328" t="s">
        <v>26</v>
      </c>
      <c r="H2" s="328"/>
      <c r="I2" s="328"/>
      <c r="J2" s="328"/>
      <c r="K2" s="328"/>
      <c r="L2" s="328"/>
      <c r="M2" s="328"/>
      <c r="N2" s="329"/>
      <c r="P2" s="43" t="s">
        <v>27</v>
      </c>
    </row>
    <row r="3" spans="1:14" ht="11.25">
      <c r="A3" s="45"/>
      <c r="B3" s="2"/>
      <c r="C3" s="2"/>
      <c r="D3" s="2"/>
      <c r="E3" s="2"/>
      <c r="F3" s="16" t="s">
        <v>14</v>
      </c>
      <c r="G3" s="330">
        <v>19</v>
      </c>
      <c r="H3" s="327"/>
      <c r="I3" s="2"/>
      <c r="J3" s="330">
        <v>18</v>
      </c>
      <c r="K3" s="327"/>
      <c r="L3" s="2"/>
      <c r="M3" s="330">
        <v>17</v>
      </c>
      <c r="N3" s="331"/>
    </row>
    <row r="4" spans="1:14" ht="11.25">
      <c r="A4" s="20"/>
      <c r="B4" s="2"/>
      <c r="C4" s="2"/>
      <c r="D4" s="2"/>
      <c r="E4" s="2"/>
      <c r="F4" s="16" t="s">
        <v>15</v>
      </c>
      <c r="G4" s="330" t="s">
        <v>80</v>
      </c>
      <c r="H4" s="327"/>
      <c r="I4" s="2"/>
      <c r="J4" s="330" t="s">
        <v>81</v>
      </c>
      <c r="K4" s="327"/>
      <c r="L4" s="2"/>
      <c r="M4" s="330" t="s">
        <v>82</v>
      </c>
      <c r="N4" s="331"/>
    </row>
    <row r="5" spans="1:14" ht="11.25">
      <c r="A5" s="20"/>
      <c r="B5" s="2"/>
      <c r="C5" s="2"/>
      <c r="D5" s="2"/>
      <c r="E5" s="2"/>
      <c r="F5" s="16" t="s">
        <v>16</v>
      </c>
      <c r="G5" s="321" t="s">
        <v>99</v>
      </c>
      <c r="H5" s="322"/>
      <c r="I5" s="2"/>
      <c r="J5" s="28"/>
      <c r="K5" s="28"/>
      <c r="L5" s="28"/>
      <c r="M5" s="28"/>
      <c r="N5" s="33"/>
    </row>
    <row r="6" spans="1:14" ht="11.25">
      <c r="A6" s="20"/>
      <c r="B6" s="2"/>
      <c r="C6" s="2"/>
      <c r="D6" s="2"/>
      <c r="E6" s="2"/>
      <c r="F6" s="16" t="s">
        <v>17</v>
      </c>
      <c r="G6" s="323" t="s">
        <v>162</v>
      </c>
      <c r="H6" s="323"/>
      <c r="I6" s="2"/>
      <c r="J6" s="28"/>
      <c r="K6" s="28"/>
      <c r="L6" s="28"/>
      <c r="M6" s="28"/>
      <c r="N6" s="33"/>
    </row>
    <row r="7" spans="1:14" ht="11.25">
      <c r="A7" s="20"/>
      <c r="B7" s="2"/>
      <c r="C7" s="2"/>
      <c r="D7" s="2"/>
      <c r="E7" s="2"/>
      <c r="F7" s="16" t="s">
        <v>33</v>
      </c>
      <c r="G7" s="324" t="s">
        <v>97</v>
      </c>
      <c r="H7" s="325"/>
      <c r="I7" s="2"/>
      <c r="J7" s="28"/>
      <c r="K7" s="28"/>
      <c r="L7" s="28"/>
      <c r="M7" s="28"/>
      <c r="N7" s="33"/>
    </row>
    <row r="8" spans="1:14" ht="11.25">
      <c r="A8" s="20"/>
      <c r="B8" s="2"/>
      <c r="C8" s="2"/>
      <c r="D8" s="2"/>
      <c r="E8" s="2"/>
      <c r="F8" s="16" t="s">
        <v>18</v>
      </c>
      <c r="G8" s="326">
        <v>43924</v>
      </c>
      <c r="H8" s="327"/>
      <c r="I8" s="2"/>
      <c r="J8" s="28"/>
      <c r="K8" s="28"/>
      <c r="L8" s="28"/>
      <c r="M8" s="28"/>
      <c r="N8" s="33"/>
    </row>
    <row r="9" spans="1:14" ht="12.75">
      <c r="A9" s="21" t="s">
        <v>2</v>
      </c>
      <c r="B9" s="22"/>
      <c r="C9" s="4"/>
      <c r="D9" s="4"/>
      <c r="E9" s="3"/>
      <c r="F9" s="3"/>
      <c r="G9" s="319"/>
      <c r="H9" s="319"/>
      <c r="I9" s="3"/>
      <c r="J9" s="319"/>
      <c r="K9" s="319"/>
      <c r="L9" s="3"/>
      <c r="M9" s="319"/>
      <c r="N9" s="320"/>
    </row>
    <row r="10" spans="1:15" ht="12.75">
      <c r="A10" s="20"/>
      <c r="B10" s="22" t="s">
        <v>56</v>
      </c>
      <c r="C10" s="4"/>
      <c r="D10" s="4"/>
      <c r="E10" s="3"/>
      <c r="F10" s="29"/>
      <c r="G10" s="58"/>
      <c r="H10" s="58"/>
      <c r="I10" s="5"/>
      <c r="J10" s="58"/>
      <c r="K10" s="58"/>
      <c r="L10" s="5"/>
      <c r="M10" s="58"/>
      <c r="N10" s="59"/>
      <c r="O10" s="11"/>
    </row>
    <row r="11" spans="1:16" ht="11.25">
      <c r="A11" s="20"/>
      <c r="B11" s="22"/>
      <c r="C11" s="6"/>
      <c r="D11" s="6"/>
      <c r="E11" s="7"/>
      <c r="F11" s="30" t="s">
        <v>7</v>
      </c>
      <c r="G11" s="313">
        <v>6476</v>
      </c>
      <c r="H11" s="314"/>
      <c r="I11" s="5"/>
      <c r="J11" s="313">
        <v>5962</v>
      </c>
      <c r="K11" s="314"/>
      <c r="L11" s="5"/>
      <c r="M11" s="313">
        <v>6271</v>
      </c>
      <c r="N11" s="315"/>
      <c r="P11" s="10" t="s">
        <v>28</v>
      </c>
    </row>
    <row r="12" spans="1:16" ht="12.75">
      <c r="A12" s="20"/>
      <c r="B12" s="22"/>
      <c r="C12" s="4"/>
      <c r="D12" s="4"/>
      <c r="E12" s="3"/>
      <c r="F12" s="29" t="s">
        <v>5</v>
      </c>
      <c r="G12" s="316">
        <v>0.016</v>
      </c>
      <c r="H12" s="317"/>
      <c r="I12" s="5"/>
      <c r="J12" s="316">
        <v>-0.013</v>
      </c>
      <c r="K12" s="317"/>
      <c r="L12" s="5"/>
      <c r="M12" s="316">
        <v>-0.002</v>
      </c>
      <c r="N12" s="318"/>
      <c r="O12" s="11"/>
      <c r="P12" s="10" t="s">
        <v>29</v>
      </c>
    </row>
    <row r="13" spans="1:16" ht="12.75">
      <c r="A13" s="20"/>
      <c r="B13" s="22"/>
      <c r="C13" s="4"/>
      <c r="D13" s="4"/>
      <c r="E13" s="3"/>
      <c r="F13" s="29" t="s">
        <v>53</v>
      </c>
      <c r="G13" s="313">
        <v>2</v>
      </c>
      <c r="H13" s="314"/>
      <c r="I13" s="5"/>
      <c r="J13" s="313">
        <v>2</v>
      </c>
      <c r="K13" s="314"/>
      <c r="L13" s="5"/>
      <c r="M13" s="313">
        <v>2</v>
      </c>
      <c r="N13" s="315"/>
      <c r="O13" s="11"/>
      <c r="P13" s="10" t="s">
        <v>71</v>
      </c>
    </row>
    <row r="14" spans="1:16" ht="12.75">
      <c r="A14" s="20"/>
      <c r="B14" s="22"/>
      <c r="C14" s="4"/>
      <c r="D14" s="4"/>
      <c r="E14" s="3"/>
      <c r="F14" s="29" t="s">
        <v>54</v>
      </c>
      <c r="G14" s="313">
        <f>122-1-14-1-18-14</f>
        <v>74</v>
      </c>
      <c r="H14" s="314"/>
      <c r="I14" s="5"/>
      <c r="J14" s="313">
        <f>5+34+28</f>
        <v>67</v>
      </c>
      <c r="K14" s="314"/>
      <c r="L14" s="5"/>
      <c r="M14" s="313">
        <f>11+37+39</f>
        <v>87</v>
      </c>
      <c r="N14" s="315"/>
      <c r="O14" s="11"/>
      <c r="P14" s="10" t="s">
        <v>70</v>
      </c>
    </row>
    <row r="15" spans="1:16" ht="12.75">
      <c r="A15" s="20"/>
      <c r="B15" s="22"/>
      <c r="C15" s="4"/>
      <c r="D15" s="4"/>
      <c r="E15" s="3"/>
      <c r="F15" s="29" t="s">
        <v>55</v>
      </c>
      <c r="G15" s="313">
        <f>18+14</f>
        <v>32</v>
      </c>
      <c r="H15" s="314"/>
      <c r="I15" s="5"/>
      <c r="J15" s="313">
        <f>11+19</f>
        <v>30</v>
      </c>
      <c r="K15" s="314"/>
      <c r="L15" s="5"/>
      <c r="M15" s="313">
        <f>10+20</f>
        <v>30</v>
      </c>
      <c r="N15" s="315"/>
      <c r="O15" s="11"/>
      <c r="P15" s="10" t="s">
        <v>69</v>
      </c>
    </row>
    <row r="16" spans="1:16" ht="12.75">
      <c r="A16" s="20"/>
      <c r="B16" s="22"/>
      <c r="C16" s="4"/>
      <c r="D16" s="4"/>
      <c r="E16" s="3"/>
      <c r="F16" s="29" t="s">
        <v>78</v>
      </c>
      <c r="G16" s="313">
        <v>9</v>
      </c>
      <c r="H16" s="314"/>
      <c r="I16" s="5"/>
      <c r="J16" s="313">
        <v>4</v>
      </c>
      <c r="K16" s="314"/>
      <c r="L16" s="5"/>
      <c r="M16" s="313">
        <v>14</v>
      </c>
      <c r="N16" s="315"/>
      <c r="O16" s="11"/>
      <c r="P16" s="10" t="s">
        <v>86</v>
      </c>
    </row>
    <row r="17" spans="1:15" ht="12.75">
      <c r="A17" s="20"/>
      <c r="B17" s="22" t="s">
        <v>57</v>
      </c>
      <c r="C17" s="4"/>
      <c r="D17" s="4"/>
      <c r="E17" s="3"/>
      <c r="F17" s="29"/>
      <c r="G17" s="58"/>
      <c r="H17" s="58"/>
      <c r="I17" s="5"/>
      <c r="J17" s="58"/>
      <c r="K17" s="58"/>
      <c r="L17" s="5"/>
      <c r="M17" s="58"/>
      <c r="N17" s="59"/>
      <c r="O17" s="11"/>
    </row>
    <row r="18" spans="1:16" ht="11.25">
      <c r="A18" s="20"/>
      <c r="B18" s="22"/>
      <c r="C18" s="6"/>
      <c r="D18" s="6"/>
      <c r="E18" s="7"/>
      <c r="F18" s="30" t="s">
        <v>7</v>
      </c>
      <c r="G18" s="313">
        <v>407</v>
      </c>
      <c r="H18" s="314"/>
      <c r="I18" s="5"/>
      <c r="J18" s="313">
        <v>358</v>
      </c>
      <c r="K18" s="314"/>
      <c r="L18" s="5"/>
      <c r="M18" s="313">
        <v>416</v>
      </c>
      <c r="N18" s="315"/>
      <c r="P18" s="10" t="s">
        <v>28</v>
      </c>
    </row>
    <row r="19" spans="1:16" ht="12.75">
      <c r="A19" s="20"/>
      <c r="B19" s="22"/>
      <c r="C19" s="4"/>
      <c r="D19" s="4"/>
      <c r="E19" s="3"/>
      <c r="F19" s="29" t="s">
        <v>5</v>
      </c>
      <c r="G19" s="316">
        <v>-0.011</v>
      </c>
      <c r="H19" s="317"/>
      <c r="I19" s="5"/>
      <c r="J19" s="316">
        <v>-0.032</v>
      </c>
      <c r="K19" s="317"/>
      <c r="L19" s="5"/>
      <c r="M19" s="316">
        <v>0.007</v>
      </c>
      <c r="N19" s="318"/>
      <c r="O19" s="11"/>
      <c r="P19" s="10" t="s">
        <v>29</v>
      </c>
    </row>
    <row r="20" spans="1:16" ht="12.75">
      <c r="A20" s="20"/>
      <c r="B20" s="22"/>
      <c r="C20" s="4"/>
      <c r="D20" s="4"/>
      <c r="E20" s="3"/>
      <c r="F20" s="29" t="s">
        <v>58</v>
      </c>
      <c r="G20" s="313">
        <v>2</v>
      </c>
      <c r="H20" s="314"/>
      <c r="I20" s="5"/>
      <c r="J20" s="313">
        <v>1</v>
      </c>
      <c r="K20" s="314"/>
      <c r="L20" s="5"/>
      <c r="M20" s="313">
        <v>1</v>
      </c>
      <c r="N20" s="315"/>
      <c r="O20" s="11"/>
      <c r="P20" s="10" t="s">
        <v>71</v>
      </c>
    </row>
    <row r="21" spans="1:16" ht="12.75">
      <c r="A21" s="20"/>
      <c r="B21" s="22"/>
      <c r="C21" s="4"/>
      <c r="D21" s="4"/>
      <c r="E21" s="3"/>
      <c r="F21" s="29" t="s">
        <v>59</v>
      </c>
      <c r="G21" s="313">
        <v>19</v>
      </c>
      <c r="H21" s="314"/>
      <c r="I21" s="5"/>
      <c r="J21" s="313">
        <v>13</v>
      </c>
      <c r="K21" s="314"/>
      <c r="L21" s="5"/>
      <c r="M21" s="313">
        <v>15</v>
      </c>
      <c r="N21" s="315"/>
      <c r="O21" s="11"/>
      <c r="P21" s="10" t="s">
        <v>83</v>
      </c>
    </row>
    <row r="22" spans="1:16" ht="12.75">
      <c r="A22" s="20"/>
      <c r="B22" s="22"/>
      <c r="C22" s="4"/>
      <c r="D22" s="4"/>
      <c r="E22" s="3"/>
      <c r="F22" s="29" t="s">
        <v>78</v>
      </c>
      <c r="G22" s="313">
        <v>5</v>
      </c>
      <c r="H22" s="314"/>
      <c r="I22" s="5"/>
      <c r="J22" s="313">
        <v>6</v>
      </c>
      <c r="K22" s="314"/>
      <c r="L22" s="5"/>
      <c r="M22" s="313">
        <v>6</v>
      </c>
      <c r="N22" s="315"/>
      <c r="O22" s="11"/>
      <c r="P22" s="10" t="s">
        <v>86</v>
      </c>
    </row>
    <row r="23" spans="1:14" ht="11.25">
      <c r="A23" s="20"/>
      <c r="B23" s="4" t="s">
        <v>6</v>
      </c>
      <c r="C23" s="4"/>
      <c r="D23" s="4"/>
      <c r="E23" s="3"/>
      <c r="F23" s="3"/>
      <c r="G23" s="23"/>
      <c r="H23" s="23"/>
      <c r="I23" s="5"/>
      <c r="J23" s="23"/>
      <c r="K23" s="23"/>
      <c r="L23" s="5"/>
      <c r="M23" s="23"/>
      <c r="N23" s="24"/>
    </row>
    <row r="24" spans="1:16" ht="11.25">
      <c r="A24" s="20"/>
      <c r="B24" s="22"/>
      <c r="C24" s="4"/>
      <c r="D24" s="4"/>
      <c r="E24" s="3"/>
      <c r="F24" s="29" t="s">
        <v>20</v>
      </c>
      <c r="G24" s="293">
        <v>0.452</v>
      </c>
      <c r="H24" s="294"/>
      <c r="I24" s="3"/>
      <c r="J24" s="293">
        <v>0.408</v>
      </c>
      <c r="K24" s="294"/>
      <c r="L24" s="3"/>
      <c r="M24" s="293">
        <v>0.415</v>
      </c>
      <c r="N24" s="295"/>
      <c r="P24" s="10" t="s">
        <v>30</v>
      </c>
    </row>
    <row r="25" spans="1:16" ht="11.25">
      <c r="A25" s="20"/>
      <c r="B25" s="22"/>
      <c r="C25" s="4"/>
      <c r="D25" s="4"/>
      <c r="E25" s="3"/>
      <c r="F25" s="29" t="s">
        <v>21</v>
      </c>
      <c r="G25" s="293">
        <v>0.548</v>
      </c>
      <c r="H25" s="294"/>
      <c r="I25" s="3"/>
      <c r="J25" s="293">
        <v>0.592</v>
      </c>
      <c r="K25" s="294"/>
      <c r="L25" s="3"/>
      <c r="M25" s="293">
        <v>0.585</v>
      </c>
      <c r="N25" s="295"/>
      <c r="P25" s="10" t="s">
        <v>31</v>
      </c>
    </row>
    <row r="26" spans="1:14" ht="11.25">
      <c r="A26" s="62" t="s">
        <v>60</v>
      </c>
      <c r="B26" s="22"/>
      <c r="C26" s="4"/>
      <c r="D26" s="4"/>
      <c r="E26" s="3"/>
      <c r="F26" s="29"/>
      <c r="G26" s="60"/>
      <c r="H26" s="60"/>
      <c r="I26" s="5"/>
      <c r="J26" s="60"/>
      <c r="K26" s="60"/>
      <c r="L26" s="5"/>
      <c r="M26" s="60"/>
      <c r="N26" s="61"/>
    </row>
    <row r="27" spans="1:16" ht="11.25">
      <c r="A27" s="20"/>
      <c r="B27" s="22"/>
      <c r="C27" s="4"/>
      <c r="D27" s="4"/>
      <c r="E27" s="3"/>
      <c r="F27" s="29" t="s">
        <v>61</v>
      </c>
      <c r="G27" s="313">
        <f>25515-G28+1387837.42</f>
        <v>1350133.0699999998</v>
      </c>
      <c r="H27" s="314"/>
      <c r="I27" s="5"/>
      <c r="J27" s="313">
        <f>1327269.08-J28+21774.01</f>
        <v>1287315.1300000001</v>
      </c>
      <c r="K27" s="314"/>
      <c r="L27" s="5"/>
      <c r="M27" s="313">
        <f>20142.84+1451665.09-M28</f>
        <v>1412370.2500000002</v>
      </c>
      <c r="N27" s="315"/>
      <c r="P27" s="10" t="s">
        <v>91</v>
      </c>
    </row>
    <row r="28" spans="1:16" ht="11.25">
      <c r="A28" s="20"/>
      <c r="B28" s="22"/>
      <c r="C28" s="4"/>
      <c r="D28" s="4"/>
      <c r="E28" s="3"/>
      <c r="F28" s="29" t="s">
        <v>62</v>
      </c>
      <c r="G28" s="313">
        <v>63219.35</v>
      </c>
      <c r="H28" s="314"/>
      <c r="I28" s="5"/>
      <c r="J28" s="313">
        <v>61727.96</v>
      </c>
      <c r="K28" s="314"/>
      <c r="L28" s="5"/>
      <c r="M28" s="313">
        <v>59437.68</v>
      </c>
      <c r="N28" s="315"/>
      <c r="P28" s="10" t="s">
        <v>91</v>
      </c>
    </row>
    <row r="29" spans="1:16" ht="11.25">
      <c r="A29" s="20"/>
      <c r="B29" s="22"/>
      <c r="C29" s="4"/>
      <c r="D29" s="4"/>
      <c r="E29" s="3"/>
      <c r="F29" s="29" t="s">
        <v>63</v>
      </c>
      <c r="G29" s="310">
        <f>456597.04+3334.77</f>
        <v>459931.81</v>
      </c>
      <c r="H29" s="311"/>
      <c r="I29" s="5"/>
      <c r="J29" s="310">
        <f>3178.63+420280.93</f>
        <v>423459.56</v>
      </c>
      <c r="K29" s="311"/>
      <c r="L29" s="5"/>
      <c r="M29" s="310">
        <f>446248.25+2912.12</f>
        <v>449160.37</v>
      </c>
      <c r="N29" s="312"/>
      <c r="P29" s="10" t="s">
        <v>90</v>
      </c>
    </row>
    <row r="30" spans="1:14" ht="11.25">
      <c r="A30" s="20"/>
      <c r="B30" s="22"/>
      <c r="C30" s="4"/>
      <c r="D30" s="4"/>
      <c r="E30" s="3"/>
      <c r="F30" s="29"/>
      <c r="G30" s="73"/>
      <c r="H30" s="74"/>
      <c r="I30" s="5"/>
      <c r="J30" s="73"/>
      <c r="K30" s="74"/>
      <c r="L30" s="5"/>
      <c r="M30" s="73"/>
      <c r="N30" s="75"/>
    </row>
    <row r="31" spans="1:18" ht="11.25">
      <c r="A31" s="20"/>
      <c r="B31" s="4"/>
      <c r="C31" s="4"/>
      <c r="D31" s="4"/>
      <c r="E31" s="3"/>
      <c r="F31" s="63" t="s">
        <v>64</v>
      </c>
      <c r="G31" s="299">
        <f>SUM(G27:H29)/(G11+G18)</f>
        <v>272.16100973412756</v>
      </c>
      <c r="H31" s="300"/>
      <c r="I31" s="22"/>
      <c r="J31" s="299">
        <f>SUM(J27:K29)/(J11+J18)</f>
        <v>280.45928006329115</v>
      </c>
      <c r="K31" s="300"/>
      <c r="L31" s="22"/>
      <c r="M31" s="299">
        <f>SUM(M27:N29)/(M11+M18)</f>
        <v>287.26907432331393</v>
      </c>
      <c r="N31" s="301"/>
      <c r="O31"/>
      <c r="P31" t="s">
        <v>32</v>
      </c>
      <c r="Q31"/>
      <c r="R31"/>
    </row>
    <row r="32" spans="1:14" ht="11.25">
      <c r="A32" s="21" t="s">
        <v>3</v>
      </c>
      <c r="B32" s="22"/>
      <c r="C32" s="4"/>
      <c r="D32" s="4"/>
      <c r="E32" s="3"/>
      <c r="F32" s="3"/>
      <c r="G32" s="8"/>
      <c r="H32" s="8"/>
      <c r="I32" s="3"/>
      <c r="J32" s="8"/>
      <c r="K32" s="8"/>
      <c r="L32" s="3"/>
      <c r="M32" s="8"/>
      <c r="N32" s="25"/>
    </row>
    <row r="33" spans="1:22" ht="11.25">
      <c r="A33" s="20"/>
      <c r="B33" s="22"/>
      <c r="C33" s="4"/>
      <c r="D33" s="48"/>
      <c r="E33" s="49"/>
      <c r="F33" s="50" t="s">
        <v>43</v>
      </c>
      <c r="G33" s="302">
        <f>5.6+1</f>
        <v>6.6</v>
      </c>
      <c r="H33" s="303"/>
      <c r="I33" s="56"/>
      <c r="J33" s="302">
        <f>5.5+1</f>
        <v>6.5</v>
      </c>
      <c r="K33" s="303"/>
      <c r="L33" s="56"/>
      <c r="M33" s="302">
        <f>6.5+1</f>
        <v>7.5</v>
      </c>
      <c r="N33" s="304"/>
      <c r="O33"/>
      <c r="P33" s="46" t="s">
        <v>47</v>
      </c>
      <c r="Q33" s="47"/>
      <c r="R33" s="47"/>
      <c r="S33" s="46"/>
      <c r="T33" s="46"/>
      <c r="U33" s="46"/>
      <c r="V33" s="46"/>
    </row>
    <row r="34" spans="1:22" ht="11.25">
      <c r="A34" s="20"/>
      <c r="B34" s="22"/>
      <c r="C34" s="4"/>
      <c r="D34" s="48"/>
      <c r="E34" s="49"/>
      <c r="F34" s="50" t="s">
        <v>44</v>
      </c>
      <c r="G34" s="302">
        <f>6.7/36*45</f>
        <v>8.375</v>
      </c>
      <c r="H34" s="303"/>
      <c r="I34" s="56"/>
      <c r="J34" s="302">
        <f>5.8/36*45</f>
        <v>7.249999999999999</v>
      </c>
      <c r="K34" s="303"/>
      <c r="L34" s="56"/>
      <c r="M34" s="302">
        <f>6.2/36*45</f>
        <v>7.75</v>
      </c>
      <c r="N34" s="304"/>
      <c r="O34"/>
      <c r="P34" s="46" t="s">
        <v>48</v>
      </c>
      <c r="Q34" s="47"/>
      <c r="R34" s="47"/>
      <c r="S34" s="46"/>
      <c r="T34" s="46"/>
      <c r="U34" s="46"/>
      <c r="V34" s="46"/>
    </row>
    <row r="35" spans="1:22" ht="11.25">
      <c r="A35" s="20"/>
      <c r="B35" s="22"/>
      <c r="C35" s="4"/>
      <c r="D35" s="48"/>
      <c r="E35" s="49"/>
      <c r="F35" s="50" t="s">
        <v>45</v>
      </c>
      <c r="G35" s="307">
        <f>9.5/36*45</f>
        <v>11.875</v>
      </c>
      <c r="H35" s="308"/>
      <c r="I35" s="56"/>
      <c r="J35" s="307">
        <f>8.3/36*45</f>
        <v>10.375</v>
      </c>
      <c r="K35" s="308"/>
      <c r="L35" s="56"/>
      <c r="M35" s="307">
        <f>8.9/36*45</f>
        <v>11.125</v>
      </c>
      <c r="N35" s="309"/>
      <c r="O35"/>
      <c r="P35" s="46" t="s">
        <v>50</v>
      </c>
      <c r="Q35" s="47"/>
      <c r="R35" s="47"/>
      <c r="S35" s="46"/>
      <c r="T35" s="46"/>
      <c r="U35" s="46"/>
      <c r="V35" s="46"/>
    </row>
    <row r="36" spans="1:22" ht="11.25">
      <c r="A36" s="20"/>
      <c r="B36" s="22"/>
      <c r="C36" s="4"/>
      <c r="D36" s="48"/>
      <c r="E36" s="49"/>
      <c r="F36" s="50" t="s">
        <v>46</v>
      </c>
      <c r="G36" s="305">
        <f>0.3/36*45</f>
        <v>0.375</v>
      </c>
      <c r="H36" s="305"/>
      <c r="I36" s="56"/>
      <c r="J36" s="305">
        <f>0.4/36*45</f>
        <v>0.5</v>
      </c>
      <c r="K36" s="305"/>
      <c r="L36" s="56"/>
      <c r="M36" s="305">
        <f>0.2/36*45</f>
        <v>0.25</v>
      </c>
      <c r="N36" s="306"/>
      <c r="O36"/>
      <c r="P36" s="46" t="s">
        <v>49</v>
      </c>
      <c r="Q36" s="47"/>
      <c r="R36" s="47"/>
      <c r="S36" s="46"/>
      <c r="T36" s="46"/>
      <c r="U36" s="46"/>
      <c r="V36" s="46"/>
    </row>
    <row r="37" spans="1:18" s="69" customFormat="1" ht="11.25">
      <c r="A37" s="64"/>
      <c r="B37" s="65"/>
      <c r="C37" s="66"/>
      <c r="D37" s="66"/>
      <c r="E37" s="5"/>
      <c r="F37" s="67"/>
      <c r="G37" s="70"/>
      <c r="H37" s="70"/>
      <c r="I37" s="68"/>
      <c r="J37" s="70"/>
      <c r="K37" s="70"/>
      <c r="L37" s="68"/>
      <c r="M37" s="70"/>
      <c r="N37" s="71"/>
      <c r="O37" s="12"/>
      <c r="Q37" s="12"/>
      <c r="R37" s="12"/>
    </row>
    <row r="38" spans="1:22" ht="11.25">
      <c r="A38" s="20"/>
      <c r="B38" s="22"/>
      <c r="C38" s="4"/>
      <c r="D38" s="48"/>
      <c r="E38" s="49"/>
      <c r="F38" s="50" t="s">
        <v>66</v>
      </c>
      <c r="G38" s="305">
        <f>1249+136</f>
        <v>1385</v>
      </c>
      <c r="H38" s="305"/>
      <c r="I38" s="56"/>
      <c r="J38" s="305">
        <f>1065+168</f>
        <v>1233</v>
      </c>
      <c r="K38" s="305"/>
      <c r="L38" s="56"/>
      <c r="M38" s="305">
        <f>1191+143</f>
        <v>1334</v>
      </c>
      <c r="N38" s="306"/>
      <c r="O38"/>
      <c r="P38" s="46" t="s">
        <v>72</v>
      </c>
      <c r="Q38" s="47"/>
      <c r="R38" s="47"/>
      <c r="S38" s="46"/>
      <c r="T38" s="46"/>
      <c r="U38" s="46"/>
      <c r="V38" s="46"/>
    </row>
    <row r="39" spans="1:22" ht="11.25">
      <c r="A39" s="20"/>
      <c r="B39" s="22"/>
      <c r="C39" s="4"/>
      <c r="D39" s="48"/>
      <c r="E39" s="49"/>
      <c r="F39" s="50" t="s">
        <v>65</v>
      </c>
      <c r="G39" s="299">
        <v>1603</v>
      </c>
      <c r="H39" s="300"/>
      <c r="I39" s="56"/>
      <c r="J39" s="299">
        <v>1055</v>
      </c>
      <c r="K39" s="300"/>
      <c r="L39" s="56"/>
      <c r="M39" s="299">
        <v>1086</v>
      </c>
      <c r="N39" s="301"/>
      <c r="O39"/>
      <c r="P39" s="46" t="s">
        <v>73</v>
      </c>
      <c r="Q39" s="47"/>
      <c r="R39" s="47"/>
      <c r="S39" s="46"/>
      <c r="T39" s="46"/>
      <c r="U39" s="46"/>
      <c r="V39" s="46"/>
    </row>
    <row r="40" spans="1:22" ht="11.25">
      <c r="A40" s="20"/>
      <c r="B40" s="22"/>
      <c r="C40" s="4"/>
      <c r="D40" s="48"/>
      <c r="E40" s="49"/>
      <c r="F40" s="50" t="s">
        <v>67</v>
      </c>
      <c r="G40" s="302">
        <v>4134</v>
      </c>
      <c r="H40" s="303"/>
      <c r="I40" s="56"/>
      <c r="J40" s="302">
        <v>3462</v>
      </c>
      <c r="K40" s="303"/>
      <c r="L40" s="56"/>
      <c r="M40" s="302">
        <v>3878</v>
      </c>
      <c r="N40" s="304"/>
      <c r="O40"/>
      <c r="P40" s="46" t="s">
        <v>75</v>
      </c>
      <c r="Q40" s="47"/>
      <c r="R40" s="47"/>
      <c r="S40" s="46"/>
      <c r="T40" s="46"/>
      <c r="U40" s="46"/>
      <c r="V40" s="46"/>
    </row>
    <row r="41" spans="1:22" ht="11.25">
      <c r="A41" s="20"/>
      <c r="B41" s="22"/>
      <c r="C41" s="4"/>
      <c r="D41" s="48"/>
      <c r="E41" s="49"/>
      <c r="F41" s="50" t="s">
        <v>68</v>
      </c>
      <c r="G41" s="302">
        <v>53</v>
      </c>
      <c r="H41" s="303"/>
      <c r="I41" s="56"/>
      <c r="J41" s="302">
        <v>83</v>
      </c>
      <c r="K41" s="303"/>
      <c r="L41" s="56"/>
      <c r="M41" s="302">
        <v>28</v>
      </c>
      <c r="N41" s="304"/>
      <c r="O41"/>
      <c r="P41" s="46" t="s">
        <v>74</v>
      </c>
      <c r="Q41" s="47"/>
      <c r="R41" s="47"/>
      <c r="S41" s="46"/>
      <c r="T41" s="46"/>
      <c r="U41" s="46"/>
      <c r="V41" s="46"/>
    </row>
    <row r="42" spans="1:18" ht="11.25">
      <c r="A42" s="20"/>
      <c r="B42" s="4"/>
      <c r="C42" s="4"/>
      <c r="D42" s="4"/>
      <c r="E42" s="3"/>
      <c r="F42" s="3"/>
      <c r="G42" s="9"/>
      <c r="H42" s="9"/>
      <c r="I42" s="22"/>
      <c r="J42" s="9"/>
      <c r="K42" s="9"/>
      <c r="L42" s="22"/>
      <c r="M42" s="9"/>
      <c r="N42" s="26"/>
      <c r="O42"/>
      <c r="P42"/>
      <c r="Q42"/>
      <c r="R42"/>
    </row>
    <row r="43" spans="1:18" ht="11.25">
      <c r="A43" s="20"/>
      <c r="B43" s="22"/>
      <c r="C43" s="4"/>
      <c r="D43" s="4"/>
      <c r="E43" s="3"/>
      <c r="F43" s="29" t="s">
        <v>22</v>
      </c>
      <c r="G43" s="302">
        <f>+(G11+G18)/(G33+G34)</f>
        <v>459.6327212020033</v>
      </c>
      <c r="H43" s="303"/>
      <c r="I43" s="22"/>
      <c r="J43" s="302">
        <f>+(J11+J18)/(J33+J34)</f>
        <v>459.6363636363636</v>
      </c>
      <c r="K43" s="303"/>
      <c r="L43" s="22"/>
      <c r="M43" s="302">
        <f>+(M11+M18)/(M33+M34)</f>
        <v>438.4918032786885</v>
      </c>
      <c r="N43" s="303"/>
      <c r="O43"/>
      <c r="P43" t="s">
        <v>32</v>
      </c>
      <c r="Q43"/>
      <c r="R43"/>
    </row>
    <row r="44" spans="1:18" ht="11.25">
      <c r="A44" s="20"/>
      <c r="B44" s="22"/>
      <c r="C44" s="4"/>
      <c r="D44" s="4"/>
      <c r="E44" s="3"/>
      <c r="F44" s="29" t="s">
        <v>216</v>
      </c>
      <c r="G44" s="332">
        <f>(G11+G18)/SUM(G33:H36)</f>
        <v>252.81910009182735</v>
      </c>
      <c r="H44" s="332"/>
      <c r="I44" s="22"/>
      <c r="J44" s="332">
        <f>(J11+J18)/SUM(J33:K36)</f>
        <v>256.6497461928934</v>
      </c>
      <c r="K44" s="332"/>
      <c r="L44" s="22"/>
      <c r="M44" s="332">
        <f>(M11+M18)/SUM(M33:N36)</f>
        <v>251.1549295774648</v>
      </c>
      <c r="N44" s="332"/>
      <c r="O44"/>
      <c r="P44"/>
      <c r="Q44"/>
      <c r="R44"/>
    </row>
    <row r="45" spans="1:17" ht="11.25">
      <c r="A45" s="20"/>
      <c r="B45" s="4"/>
      <c r="C45" s="4"/>
      <c r="D45" s="4"/>
      <c r="E45" s="3"/>
      <c r="F45" s="3"/>
      <c r="G45" s="34" t="s">
        <v>24</v>
      </c>
      <c r="H45" s="34" t="s">
        <v>23</v>
      </c>
      <c r="I45" s="28"/>
      <c r="J45" s="34" t="s">
        <v>24</v>
      </c>
      <c r="K45" s="34" t="s">
        <v>23</v>
      </c>
      <c r="L45" s="28"/>
      <c r="M45" s="34" t="s">
        <v>24</v>
      </c>
      <c r="N45" s="35" t="s">
        <v>23</v>
      </c>
      <c r="O45" s="14"/>
      <c r="P45" s="13"/>
      <c r="Q45" s="31"/>
    </row>
    <row r="46" spans="1:22" ht="11.25">
      <c r="A46" s="20"/>
      <c r="B46" s="4"/>
      <c r="C46" s="4"/>
      <c r="D46" s="52"/>
      <c r="E46" s="53"/>
      <c r="F46" s="54" t="s">
        <v>25</v>
      </c>
      <c r="G46" s="76">
        <v>10</v>
      </c>
      <c r="H46" s="32">
        <f>G46/SUM($G$46:$G$49)</f>
        <v>0.5246589716684156</v>
      </c>
      <c r="I46" s="28"/>
      <c r="J46" s="76">
        <v>8</v>
      </c>
      <c r="K46" s="32">
        <f>J46/SUM($J$46:$J$49)</f>
        <v>0.37453183520599254</v>
      </c>
      <c r="L46" s="28"/>
      <c r="M46" s="76">
        <v>11</v>
      </c>
      <c r="N46" s="36">
        <f>M46/SUM($M$46:$M$49)</f>
        <v>0.5923532579429187</v>
      </c>
      <c r="O46" s="14"/>
      <c r="P46" s="55" t="s">
        <v>84</v>
      </c>
      <c r="Q46" s="51"/>
      <c r="R46" s="55"/>
      <c r="S46" s="55"/>
      <c r="T46" s="55"/>
      <c r="U46" s="55"/>
      <c r="V46" s="55"/>
    </row>
    <row r="47" spans="1:22" ht="11.25">
      <c r="A47" s="20"/>
      <c r="B47" s="4"/>
      <c r="C47" s="4"/>
      <c r="D47" s="52"/>
      <c r="E47" s="53"/>
      <c r="F47" s="54" t="s">
        <v>13</v>
      </c>
      <c r="G47" s="76">
        <v>3.1</v>
      </c>
      <c r="H47" s="32">
        <f aca="true" t="shared" si="0" ref="H47:H49">G47/SUM($G$46:$G$49)</f>
        <v>0.16264428121720884</v>
      </c>
      <c r="I47" s="28"/>
      <c r="J47" s="76">
        <v>2.5</v>
      </c>
      <c r="K47" s="32">
        <f aca="true" t="shared" si="1" ref="K47:K49">J47/SUM($J$46:$J$49)</f>
        <v>0.11704119850187267</v>
      </c>
      <c r="L47" s="28"/>
      <c r="M47" s="76">
        <v>3.1</v>
      </c>
      <c r="N47" s="36">
        <f aca="true" t="shared" si="2" ref="N47:N49">M47/SUM($M$46:$M$49)</f>
        <v>0.16693591814754982</v>
      </c>
      <c r="O47" s="14"/>
      <c r="P47" s="55" t="s">
        <v>84</v>
      </c>
      <c r="Q47" s="51"/>
      <c r="R47" s="55"/>
      <c r="S47" s="55"/>
      <c r="T47" s="55"/>
      <c r="U47" s="55"/>
      <c r="V47" s="55"/>
    </row>
    <row r="48" spans="1:22" ht="11.25">
      <c r="A48" s="20"/>
      <c r="B48" s="4"/>
      <c r="C48" s="4"/>
      <c r="D48" s="52"/>
      <c r="E48" s="53"/>
      <c r="F48" s="54" t="s">
        <v>51</v>
      </c>
      <c r="G48" s="76">
        <v>4.21</v>
      </c>
      <c r="H48" s="32">
        <f t="shared" si="0"/>
        <v>0.22088142707240296</v>
      </c>
      <c r="I48" s="28"/>
      <c r="J48" s="76">
        <v>9.11</v>
      </c>
      <c r="K48" s="32">
        <f t="shared" si="1"/>
        <v>0.42649812734082393</v>
      </c>
      <c r="L48" s="28"/>
      <c r="M48" s="76">
        <f>22.47-19.75</f>
        <v>2.719999999999999</v>
      </c>
      <c r="N48" s="36">
        <f t="shared" si="2"/>
        <v>0.14647280560043074</v>
      </c>
      <c r="O48" s="14"/>
      <c r="P48" s="55" t="s">
        <v>85</v>
      </c>
      <c r="Q48" s="51"/>
      <c r="R48" s="55"/>
      <c r="S48" s="55"/>
      <c r="T48" s="55"/>
      <c r="U48" s="55"/>
      <c r="V48" s="55"/>
    </row>
    <row r="49" spans="1:22" ht="11.25">
      <c r="A49" s="20"/>
      <c r="B49" s="4"/>
      <c r="C49" s="4"/>
      <c r="D49" s="52"/>
      <c r="E49" s="53"/>
      <c r="F49" s="54" t="s">
        <v>52</v>
      </c>
      <c r="G49" s="76">
        <v>1.75</v>
      </c>
      <c r="H49" s="32">
        <f t="shared" si="0"/>
        <v>0.09181532004197272</v>
      </c>
      <c r="I49" s="28"/>
      <c r="J49" s="76">
        <v>1.75</v>
      </c>
      <c r="K49" s="32">
        <f t="shared" si="1"/>
        <v>0.08192883895131087</v>
      </c>
      <c r="L49" s="28"/>
      <c r="M49" s="76">
        <v>1.75</v>
      </c>
      <c r="N49" s="36">
        <f t="shared" si="2"/>
        <v>0.0942380183091007</v>
      </c>
      <c r="O49" s="14"/>
      <c r="P49" s="55" t="s">
        <v>85</v>
      </c>
      <c r="Q49" s="51"/>
      <c r="R49" s="55"/>
      <c r="S49" s="55"/>
      <c r="T49" s="55"/>
      <c r="U49" s="55"/>
      <c r="V49" s="55"/>
    </row>
    <row r="50" spans="1:14" ht="11.25">
      <c r="A50" s="21" t="s">
        <v>4</v>
      </c>
      <c r="B50" s="22"/>
      <c r="C50" s="4"/>
      <c r="D50" s="4"/>
      <c r="E50" s="3"/>
      <c r="F50" s="3"/>
      <c r="G50" s="8"/>
      <c r="H50" s="8"/>
      <c r="I50" s="3"/>
      <c r="J50" s="8"/>
      <c r="K50" s="8"/>
      <c r="L50" s="3"/>
      <c r="M50" s="8"/>
      <c r="N50" s="25"/>
    </row>
    <row r="51" spans="1:16" ht="11.25">
      <c r="A51" s="21"/>
      <c r="B51" s="22"/>
      <c r="C51" s="4"/>
      <c r="D51" s="4"/>
      <c r="E51" s="3"/>
      <c r="F51" s="63" t="s">
        <v>77</v>
      </c>
      <c r="G51" s="293">
        <v>0.924</v>
      </c>
      <c r="H51" s="294"/>
      <c r="I51" s="72"/>
      <c r="J51" s="293">
        <v>0.953</v>
      </c>
      <c r="K51" s="294"/>
      <c r="L51" s="72"/>
      <c r="M51" s="293">
        <v>0.946</v>
      </c>
      <c r="N51" s="295"/>
      <c r="P51" s="10" t="s">
        <v>87</v>
      </c>
    </row>
    <row r="52" spans="1:16" ht="11.25">
      <c r="A52" s="21"/>
      <c r="B52" s="22"/>
      <c r="C52" s="4"/>
      <c r="D52" s="4"/>
      <c r="E52" s="3"/>
      <c r="F52" s="63" t="s">
        <v>76</v>
      </c>
      <c r="G52" s="293">
        <v>0.112</v>
      </c>
      <c r="H52" s="294"/>
      <c r="I52" s="72"/>
      <c r="J52" s="293">
        <v>0.071</v>
      </c>
      <c r="K52" s="294"/>
      <c r="L52" s="72"/>
      <c r="M52" s="293">
        <v>0.079</v>
      </c>
      <c r="N52" s="295"/>
      <c r="P52" s="10" t="s">
        <v>79</v>
      </c>
    </row>
    <row r="53" spans="1:16" ht="11" customHeight="1">
      <c r="A53" s="20"/>
      <c r="B53" s="23"/>
      <c r="C53" s="4"/>
      <c r="D53" s="4"/>
      <c r="E53" s="3"/>
      <c r="F53" s="29" t="s">
        <v>10</v>
      </c>
      <c r="G53" s="296">
        <v>13</v>
      </c>
      <c r="H53" s="297"/>
      <c r="I53" s="3"/>
      <c r="J53" s="296">
        <v>10</v>
      </c>
      <c r="K53" s="297"/>
      <c r="L53" s="3"/>
      <c r="M53" s="296">
        <v>3</v>
      </c>
      <c r="N53" s="298"/>
      <c r="P53" s="10" t="s">
        <v>34</v>
      </c>
    </row>
    <row r="54" spans="1:16" ht="11.25">
      <c r="A54" s="20"/>
      <c r="B54" s="23"/>
      <c r="C54" s="4"/>
      <c r="D54" s="4"/>
      <c r="E54" s="3"/>
      <c r="F54" s="29" t="s">
        <v>8</v>
      </c>
      <c r="G54" s="296">
        <v>2</v>
      </c>
      <c r="H54" s="297"/>
      <c r="I54" s="14"/>
      <c r="J54" s="296">
        <v>2</v>
      </c>
      <c r="K54" s="297"/>
      <c r="L54" s="14"/>
      <c r="M54" s="296">
        <v>2</v>
      </c>
      <c r="N54" s="298"/>
      <c r="P54" s="10" t="s">
        <v>36</v>
      </c>
    </row>
    <row r="55" spans="1:16" ht="11.25">
      <c r="A55" s="20"/>
      <c r="B55" s="23"/>
      <c r="C55" s="4"/>
      <c r="D55" s="4"/>
      <c r="E55" s="3"/>
      <c r="F55" s="42" t="s">
        <v>11</v>
      </c>
      <c r="G55" s="296">
        <v>12.8</v>
      </c>
      <c r="H55" s="297"/>
      <c r="I55" s="3"/>
      <c r="J55" s="296">
        <v>11.3</v>
      </c>
      <c r="K55" s="297"/>
      <c r="L55" s="3"/>
      <c r="M55" s="296">
        <v>11.1</v>
      </c>
      <c r="N55" s="298"/>
      <c r="P55" s="10" t="s">
        <v>42</v>
      </c>
    </row>
    <row r="56" spans="1:19" ht="11.25">
      <c r="A56" s="20"/>
      <c r="B56" s="22"/>
      <c r="C56" s="4"/>
      <c r="D56" s="4"/>
      <c r="E56" s="3"/>
      <c r="F56" s="29" t="s">
        <v>9</v>
      </c>
      <c r="G56" s="293">
        <v>0.34</v>
      </c>
      <c r="H56" s="294"/>
      <c r="I56" s="3"/>
      <c r="J56" s="293">
        <v>0.2</v>
      </c>
      <c r="K56" s="294"/>
      <c r="L56" s="3"/>
      <c r="M56" s="293">
        <v>0.2</v>
      </c>
      <c r="N56" s="295"/>
      <c r="P56" s="10" t="s">
        <v>37</v>
      </c>
      <c r="Q56"/>
      <c r="R56"/>
      <c r="S56"/>
    </row>
    <row r="57" spans="1:19" ht="11.25">
      <c r="A57" s="20"/>
      <c r="B57" s="22"/>
      <c r="C57" s="4"/>
      <c r="D57" s="4"/>
      <c r="E57" s="27"/>
      <c r="F57" s="29" t="s">
        <v>12</v>
      </c>
      <c r="G57" s="296">
        <v>208</v>
      </c>
      <c r="H57" s="297"/>
      <c r="I57" s="28"/>
      <c r="J57" s="296">
        <v>237</v>
      </c>
      <c r="K57" s="297"/>
      <c r="L57" s="28"/>
      <c r="M57" s="296">
        <v>255</v>
      </c>
      <c r="N57" s="298"/>
      <c r="P57" s="10" t="s">
        <v>38</v>
      </c>
      <c r="Q57"/>
      <c r="R57"/>
      <c r="S57"/>
    </row>
    <row r="58" spans="1:19" ht="11.25">
      <c r="A58" s="20"/>
      <c r="B58" s="22"/>
      <c r="C58" s="4"/>
      <c r="D58" s="4"/>
      <c r="E58" s="3"/>
      <c r="F58" s="29" t="s">
        <v>19</v>
      </c>
      <c r="G58" s="293">
        <v>0.832</v>
      </c>
      <c r="H58" s="294"/>
      <c r="I58" s="28"/>
      <c r="J58" s="293">
        <v>0.852</v>
      </c>
      <c r="K58" s="294"/>
      <c r="L58" s="28"/>
      <c r="M58" s="293">
        <v>0.879</v>
      </c>
      <c r="N58" s="295"/>
      <c r="P58" s="10" t="s">
        <v>39</v>
      </c>
      <c r="Q58"/>
      <c r="R58"/>
      <c r="S58"/>
    </row>
    <row r="59" spans="1:19" ht="11.25">
      <c r="A59" s="20"/>
      <c r="B59" s="22"/>
      <c r="C59" s="4"/>
      <c r="D59" s="4"/>
      <c r="E59" s="3"/>
      <c r="F59" s="29" t="s">
        <v>0</v>
      </c>
      <c r="G59" s="293">
        <v>-0.066</v>
      </c>
      <c r="H59" s="294"/>
      <c r="I59" s="28"/>
      <c r="J59" s="293">
        <v>0.014</v>
      </c>
      <c r="K59" s="294"/>
      <c r="L59" s="28"/>
      <c r="M59" s="293">
        <v>0.193</v>
      </c>
      <c r="N59" s="295"/>
      <c r="P59" s="10" t="s">
        <v>40</v>
      </c>
      <c r="Q59"/>
      <c r="R59"/>
      <c r="S59"/>
    </row>
    <row r="60" spans="1:14" ht="11.25">
      <c r="A60" s="21" t="s">
        <v>1</v>
      </c>
      <c r="B60" s="28"/>
      <c r="C60" s="28"/>
      <c r="D60" s="28"/>
      <c r="E60" s="28"/>
      <c r="F60" s="28"/>
      <c r="G60" s="28"/>
      <c r="H60" s="28"/>
      <c r="I60" s="28"/>
      <c r="J60" s="28"/>
      <c r="K60" s="28"/>
      <c r="L60" s="28"/>
      <c r="M60" s="28"/>
      <c r="N60" s="33"/>
    </row>
    <row r="61" spans="1:16" ht="11.25">
      <c r="A61" s="37" t="s">
        <v>163</v>
      </c>
      <c r="B61" s="28"/>
      <c r="C61" s="28"/>
      <c r="D61" s="28"/>
      <c r="E61" s="28"/>
      <c r="F61" s="28"/>
      <c r="G61" s="28"/>
      <c r="H61" s="28"/>
      <c r="I61" s="28"/>
      <c r="J61" s="28"/>
      <c r="K61" s="28"/>
      <c r="L61" s="28"/>
      <c r="M61" s="28"/>
      <c r="N61" s="33"/>
      <c r="P61" t="s">
        <v>35</v>
      </c>
    </row>
    <row r="62" spans="1:14" ht="11.25">
      <c r="A62" s="38" t="s">
        <v>164</v>
      </c>
      <c r="B62" s="23"/>
      <c r="C62" s="23"/>
      <c r="D62" s="23"/>
      <c r="E62" s="23"/>
      <c r="F62" s="23"/>
      <c r="G62" s="23"/>
      <c r="H62" s="23"/>
      <c r="I62" s="23"/>
      <c r="J62" s="23"/>
      <c r="K62" s="23"/>
      <c r="L62" s="23"/>
      <c r="M62" s="23"/>
      <c r="N62" s="24"/>
    </row>
    <row r="63" spans="1:14" ht="11.25">
      <c r="A63" s="38" t="s">
        <v>165</v>
      </c>
      <c r="B63" s="23"/>
      <c r="C63" s="23"/>
      <c r="D63" s="23"/>
      <c r="E63" s="23"/>
      <c r="F63" s="23"/>
      <c r="G63" s="23"/>
      <c r="H63" s="23"/>
      <c r="I63" s="23"/>
      <c r="J63" s="23"/>
      <c r="K63" s="23"/>
      <c r="L63" s="23"/>
      <c r="M63" s="23"/>
      <c r="N63" s="24"/>
    </row>
    <row r="64" spans="1:16" ht="11.25">
      <c r="A64" s="38" t="s">
        <v>166</v>
      </c>
      <c r="B64" s="23"/>
      <c r="C64" s="23"/>
      <c r="D64" s="23"/>
      <c r="E64" s="23"/>
      <c r="F64" s="23"/>
      <c r="G64" s="23"/>
      <c r="H64" s="23"/>
      <c r="I64" s="23"/>
      <c r="J64" s="23"/>
      <c r="K64" s="23"/>
      <c r="L64" s="23"/>
      <c r="M64" s="23"/>
      <c r="N64" s="24"/>
      <c r="P64" s="44" t="s">
        <v>41</v>
      </c>
    </row>
    <row r="65" spans="1:14" ht="11.25">
      <c r="A65" s="38" t="s">
        <v>167</v>
      </c>
      <c r="B65" s="23"/>
      <c r="C65" s="23"/>
      <c r="D65" s="23"/>
      <c r="E65" s="23"/>
      <c r="F65" s="23"/>
      <c r="G65" s="23"/>
      <c r="H65" s="23"/>
      <c r="I65" s="23"/>
      <c r="J65" s="23"/>
      <c r="K65" s="23"/>
      <c r="L65" s="23"/>
      <c r="M65" s="23"/>
      <c r="N65" s="24"/>
    </row>
    <row r="66" spans="1:14" ht="12.75" thickBot="1">
      <c r="A66" s="39"/>
      <c r="B66" s="40"/>
      <c r="C66" s="40"/>
      <c r="D66" s="40"/>
      <c r="E66" s="40"/>
      <c r="F66" s="40"/>
      <c r="G66" s="40"/>
      <c r="H66" s="40"/>
      <c r="I66" s="40"/>
      <c r="J66" s="40"/>
      <c r="K66" s="40"/>
      <c r="L66" s="40"/>
      <c r="M66" s="40"/>
      <c r="N66" s="41"/>
    </row>
  </sheetData>
  <mergeCells count="122">
    <mergeCell ref="G5:H5"/>
    <mergeCell ref="G6:H6"/>
    <mergeCell ref="G7:H7"/>
    <mergeCell ref="G8:H8"/>
    <mergeCell ref="G9:H9"/>
    <mergeCell ref="J9:K9"/>
    <mergeCell ref="G2:N2"/>
    <mergeCell ref="G3:H3"/>
    <mergeCell ref="J3:K3"/>
    <mergeCell ref="M3:N3"/>
    <mergeCell ref="G4:H4"/>
    <mergeCell ref="J4:K4"/>
    <mergeCell ref="M4:N4"/>
    <mergeCell ref="G13:H13"/>
    <mergeCell ref="J13:K13"/>
    <mergeCell ref="M13:N13"/>
    <mergeCell ref="G14:H14"/>
    <mergeCell ref="J14:K14"/>
    <mergeCell ref="M14:N14"/>
    <mergeCell ref="M9:N9"/>
    <mergeCell ref="G11:H11"/>
    <mergeCell ref="J11:K11"/>
    <mergeCell ref="M11:N11"/>
    <mergeCell ref="G12:H12"/>
    <mergeCell ref="J12:K12"/>
    <mergeCell ref="M12:N12"/>
    <mergeCell ref="G18:H18"/>
    <mergeCell ref="J18:K18"/>
    <mergeCell ref="M18:N18"/>
    <mergeCell ref="G19:H19"/>
    <mergeCell ref="J19:K19"/>
    <mergeCell ref="M19:N19"/>
    <mergeCell ref="G15:H15"/>
    <mergeCell ref="J15:K15"/>
    <mergeCell ref="M15:N15"/>
    <mergeCell ref="G16:H16"/>
    <mergeCell ref="J16:K16"/>
    <mergeCell ref="M16:N16"/>
    <mergeCell ref="G22:H22"/>
    <mergeCell ref="J22:K22"/>
    <mergeCell ref="M22:N22"/>
    <mergeCell ref="G24:H24"/>
    <mergeCell ref="J24:K24"/>
    <mergeCell ref="M24:N24"/>
    <mergeCell ref="G20:H20"/>
    <mergeCell ref="J20:K20"/>
    <mergeCell ref="M20:N20"/>
    <mergeCell ref="G21:H21"/>
    <mergeCell ref="J21:K21"/>
    <mergeCell ref="M21:N21"/>
    <mergeCell ref="G28:H28"/>
    <mergeCell ref="J28:K28"/>
    <mergeCell ref="M28:N28"/>
    <mergeCell ref="G29:H29"/>
    <mergeCell ref="J29:K29"/>
    <mergeCell ref="M29:N29"/>
    <mergeCell ref="G25:H25"/>
    <mergeCell ref="J25:K25"/>
    <mergeCell ref="M25:N25"/>
    <mergeCell ref="G27:H27"/>
    <mergeCell ref="J27:K27"/>
    <mergeCell ref="M27:N27"/>
    <mergeCell ref="G34:H34"/>
    <mergeCell ref="J34:K34"/>
    <mergeCell ref="M34:N34"/>
    <mergeCell ref="G35:H35"/>
    <mergeCell ref="J35:K35"/>
    <mergeCell ref="M35:N35"/>
    <mergeCell ref="G31:H31"/>
    <mergeCell ref="J31:K31"/>
    <mergeCell ref="M31:N31"/>
    <mergeCell ref="G33:H33"/>
    <mergeCell ref="J33:K33"/>
    <mergeCell ref="M33:N33"/>
    <mergeCell ref="G39:H39"/>
    <mergeCell ref="J39:K39"/>
    <mergeCell ref="M39:N39"/>
    <mergeCell ref="G40:H40"/>
    <mergeCell ref="J40:K40"/>
    <mergeCell ref="M40:N40"/>
    <mergeCell ref="G36:H36"/>
    <mergeCell ref="J36:K36"/>
    <mergeCell ref="M36:N36"/>
    <mergeCell ref="G38:H38"/>
    <mergeCell ref="J38:K38"/>
    <mergeCell ref="M38:N38"/>
    <mergeCell ref="G51:H51"/>
    <mergeCell ref="J51:K51"/>
    <mergeCell ref="M51:N51"/>
    <mergeCell ref="G52:H52"/>
    <mergeCell ref="J52:K52"/>
    <mergeCell ref="M52:N52"/>
    <mergeCell ref="G41:H41"/>
    <mergeCell ref="J41:K41"/>
    <mergeCell ref="M41:N41"/>
    <mergeCell ref="G43:H43"/>
    <mergeCell ref="J43:K43"/>
    <mergeCell ref="M43:N43"/>
    <mergeCell ref="G59:H59"/>
    <mergeCell ref="J59:K59"/>
    <mergeCell ref="M59:N59"/>
    <mergeCell ref="G44:H44"/>
    <mergeCell ref="J44:K44"/>
    <mergeCell ref="M44:N44"/>
    <mergeCell ref="G57:H57"/>
    <mergeCell ref="J57:K57"/>
    <mergeCell ref="M57:N57"/>
    <mergeCell ref="G58:H58"/>
    <mergeCell ref="J58:K58"/>
    <mergeCell ref="M58:N58"/>
    <mergeCell ref="G55:H55"/>
    <mergeCell ref="J55:K55"/>
    <mergeCell ref="M55:N55"/>
    <mergeCell ref="G56:H56"/>
    <mergeCell ref="J56:K56"/>
    <mergeCell ref="M56:N56"/>
    <mergeCell ref="G53:H53"/>
    <mergeCell ref="J53:K53"/>
    <mergeCell ref="M53:N53"/>
    <mergeCell ref="G54:H54"/>
    <mergeCell ref="J54:K54"/>
    <mergeCell ref="M54:N54"/>
  </mergeCells>
  <printOptions/>
  <pageMargins left="0.25" right="0.25" top="0.75" bottom="0.75" header="0.3" footer="0.3"/>
  <pageSetup fitToHeight="1" fitToWidth="1" horizontalDpi="1200" verticalDpi="1200" orientation="portrait" scale="94" r:id="rId3"/>
  <colBreaks count="1" manualBreakCount="1">
    <brk id="14" max="16383" man="1"/>
  </colBreaks>
  <legacyDrawing r:id="rId2"/>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V66"/>
  <sheetViews>
    <sheetView showGridLines="0" workbookViewId="0" topLeftCell="A10">
      <selection activeCell="P29" sqref="P29"/>
    </sheetView>
  </sheetViews>
  <sheetFormatPr defaultColWidth="9.00390625" defaultRowHeight="11.25"/>
  <cols>
    <col min="1" max="1" width="4.625" style="1" customWidth="1"/>
    <col min="2" max="5" width="9.00390625" style="1" customWidth="1"/>
    <col min="6" max="6" width="7.125" style="1" customWidth="1"/>
    <col min="7" max="8" width="9.125" style="1" customWidth="1"/>
    <col min="9" max="9" width="1.75390625" style="1" customWidth="1"/>
    <col min="10" max="11" width="9.125" style="1" customWidth="1"/>
    <col min="12" max="12" width="1.75390625" style="1" customWidth="1"/>
    <col min="13" max="14" width="9.125" style="1" customWidth="1"/>
    <col min="15" max="15" width="3.75390625" style="10" customWidth="1"/>
    <col min="16" max="16384" width="9.00390625" style="10" customWidth="1"/>
  </cols>
  <sheetData>
    <row r="1" spans="1:14" s="12" customFormat="1" ht="11.25">
      <c r="A1" s="17" t="s">
        <v>88</v>
      </c>
      <c r="B1" s="18"/>
      <c r="C1" s="18"/>
      <c r="D1" s="18"/>
      <c r="E1" s="18"/>
      <c r="F1" s="18"/>
      <c r="G1" s="18"/>
      <c r="H1" s="18"/>
      <c r="I1" s="18"/>
      <c r="J1" s="18"/>
      <c r="K1" s="18"/>
      <c r="L1" s="18"/>
      <c r="M1" s="18"/>
      <c r="N1" s="19"/>
    </row>
    <row r="2" spans="1:16" s="12" customFormat="1" ht="11.25">
      <c r="A2" s="20" t="s">
        <v>89</v>
      </c>
      <c r="B2" s="15"/>
      <c r="C2" s="15"/>
      <c r="D2" s="15"/>
      <c r="E2" s="15"/>
      <c r="F2" s="15"/>
      <c r="G2" s="328" t="s">
        <v>26</v>
      </c>
      <c r="H2" s="328"/>
      <c r="I2" s="328"/>
      <c r="J2" s="328"/>
      <c r="K2" s="328"/>
      <c r="L2" s="328"/>
      <c r="M2" s="328"/>
      <c r="N2" s="329"/>
      <c r="P2" s="43" t="s">
        <v>27</v>
      </c>
    </row>
    <row r="3" spans="1:14" ht="11.25">
      <c r="A3" s="45"/>
      <c r="B3" s="2"/>
      <c r="C3" s="2"/>
      <c r="D3" s="2"/>
      <c r="E3" s="2"/>
      <c r="F3" s="16" t="s">
        <v>14</v>
      </c>
      <c r="G3" s="330">
        <v>19</v>
      </c>
      <c r="H3" s="327"/>
      <c r="I3" s="2"/>
      <c r="J3" s="330">
        <v>18</v>
      </c>
      <c r="K3" s="327"/>
      <c r="L3" s="2"/>
      <c r="M3" s="330">
        <v>17</v>
      </c>
      <c r="N3" s="331"/>
    </row>
    <row r="4" spans="1:14" ht="11.25">
      <c r="A4" s="20"/>
      <c r="B4" s="2"/>
      <c r="C4" s="2"/>
      <c r="D4" s="2"/>
      <c r="E4" s="2"/>
      <c r="F4" s="16" t="s">
        <v>15</v>
      </c>
      <c r="G4" s="330" t="s">
        <v>80</v>
      </c>
      <c r="H4" s="327"/>
      <c r="I4" s="2"/>
      <c r="J4" s="330" t="s">
        <v>81</v>
      </c>
      <c r="K4" s="327"/>
      <c r="L4" s="2"/>
      <c r="M4" s="330" t="s">
        <v>82</v>
      </c>
      <c r="N4" s="331"/>
    </row>
    <row r="5" spans="1:14" ht="11.25">
      <c r="A5" s="20"/>
      <c r="B5" s="2"/>
      <c r="C5" s="2"/>
      <c r="D5" s="2"/>
      <c r="E5" s="2"/>
      <c r="F5" s="16" t="s">
        <v>16</v>
      </c>
      <c r="G5" s="321" t="s">
        <v>102</v>
      </c>
      <c r="H5" s="322"/>
      <c r="I5" s="2"/>
      <c r="J5" s="28"/>
      <c r="K5" s="28"/>
      <c r="L5" s="28"/>
      <c r="M5" s="28"/>
      <c r="N5" s="33"/>
    </row>
    <row r="6" spans="1:14" ht="11.25">
      <c r="A6" s="20"/>
      <c r="B6" s="2"/>
      <c r="C6" s="2"/>
      <c r="D6" s="2"/>
      <c r="E6" s="2"/>
      <c r="F6" s="16" t="s">
        <v>17</v>
      </c>
      <c r="G6" s="323" t="s">
        <v>168</v>
      </c>
      <c r="H6" s="323"/>
      <c r="I6" s="2"/>
      <c r="J6" s="28"/>
      <c r="K6" s="28"/>
      <c r="L6" s="28"/>
      <c r="M6" s="28"/>
      <c r="N6" s="33"/>
    </row>
    <row r="7" spans="1:14" ht="11.25">
      <c r="A7" s="20"/>
      <c r="B7" s="2"/>
      <c r="C7" s="2"/>
      <c r="D7" s="2"/>
      <c r="E7" s="2"/>
      <c r="F7" s="16" t="s">
        <v>33</v>
      </c>
      <c r="G7" s="324" t="s">
        <v>97</v>
      </c>
      <c r="H7" s="325"/>
      <c r="I7" s="2"/>
      <c r="J7" s="28"/>
      <c r="K7" s="28"/>
      <c r="L7" s="28"/>
      <c r="M7" s="28"/>
      <c r="N7" s="33"/>
    </row>
    <row r="8" spans="1:14" ht="11.25">
      <c r="A8" s="20"/>
      <c r="B8" s="2"/>
      <c r="C8" s="2"/>
      <c r="D8" s="2"/>
      <c r="E8" s="2"/>
      <c r="F8" s="16" t="s">
        <v>18</v>
      </c>
      <c r="G8" s="326">
        <v>43921</v>
      </c>
      <c r="H8" s="327"/>
      <c r="I8" s="2"/>
      <c r="J8" s="28"/>
      <c r="K8" s="28"/>
      <c r="L8" s="28"/>
      <c r="M8" s="28"/>
      <c r="N8" s="33"/>
    </row>
    <row r="9" spans="1:14" ht="12.75">
      <c r="A9" s="21" t="s">
        <v>2</v>
      </c>
      <c r="B9" s="22"/>
      <c r="C9" s="4"/>
      <c r="D9" s="4"/>
      <c r="E9" s="3"/>
      <c r="F9" s="3"/>
      <c r="G9" s="319"/>
      <c r="H9" s="319"/>
      <c r="I9" s="3"/>
      <c r="J9" s="319"/>
      <c r="K9" s="319"/>
      <c r="L9" s="3"/>
      <c r="M9" s="319"/>
      <c r="N9" s="320"/>
    </row>
    <row r="10" spans="1:15" ht="12.75">
      <c r="A10" s="20"/>
      <c r="B10" s="22" t="s">
        <v>56</v>
      </c>
      <c r="C10" s="4"/>
      <c r="D10" s="4"/>
      <c r="E10" s="3"/>
      <c r="F10" s="29"/>
      <c r="G10" s="58"/>
      <c r="H10" s="58"/>
      <c r="I10" s="5"/>
      <c r="J10" s="58"/>
      <c r="K10" s="58"/>
      <c r="L10" s="5"/>
      <c r="M10" s="58"/>
      <c r="N10" s="59"/>
      <c r="O10" s="11"/>
    </row>
    <row r="11" spans="1:16" ht="11.25">
      <c r="A11" s="20"/>
      <c r="B11" s="22"/>
      <c r="C11" s="6"/>
      <c r="D11" s="6"/>
      <c r="E11" s="7"/>
      <c r="F11" s="30" t="s">
        <v>7</v>
      </c>
      <c r="G11" s="313">
        <v>5107</v>
      </c>
      <c r="H11" s="314"/>
      <c r="I11" s="5"/>
      <c r="J11" s="313">
        <v>5599</v>
      </c>
      <c r="K11" s="314"/>
      <c r="L11" s="5"/>
      <c r="M11" s="313">
        <v>5226</v>
      </c>
      <c r="N11" s="315"/>
      <c r="P11" s="10" t="s">
        <v>28</v>
      </c>
    </row>
    <row r="12" spans="1:16" ht="12.75">
      <c r="A12" s="20"/>
      <c r="B12" s="22"/>
      <c r="C12" s="4"/>
      <c r="D12" s="4"/>
      <c r="E12" s="3"/>
      <c r="F12" s="29" t="s">
        <v>5</v>
      </c>
      <c r="G12" s="316">
        <v>-0.011</v>
      </c>
      <c r="H12" s="317"/>
      <c r="I12" s="5"/>
      <c r="J12" s="316">
        <v>0.02</v>
      </c>
      <c r="K12" s="317"/>
      <c r="L12" s="5"/>
      <c r="M12" s="316">
        <v>-0.064</v>
      </c>
      <c r="N12" s="318"/>
      <c r="O12" s="11"/>
      <c r="P12" s="10" t="s">
        <v>29</v>
      </c>
    </row>
    <row r="13" spans="1:16" ht="12.75">
      <c r="A13" s="20"/>
      <c r="B13" s="22"/>
      <c r="C13" s="4"/>
      <c r="D13" s="4"/>
      <c r="E13" s="3"/>
      <c r="F13" s="29" t="s">
        <v>53</v>
      </c>
      <c r="G13" s="313">
        <v>3</v>
      </c>
      <c r="H13" s="314"/>
      <c r="I13" s="5"/>
      <c r="J13" s="313">
        <v>3</v>
      </c>
      <c r="K13" s="314"/>
      <c r="L13" s="5"/>
      <c r="M13" s="313">
        <v>3</v>
      </c>
      <c r="N13" s="315"/>
      <c r="O13" s="11"/>
      <c r="P13" s="10" t="s">
        <v>71</v>
      </c>
    </row>
    <row r="14" spans="1:16" ht="12.75">
      <c r="A14" s="20"/>
      <c r="B14" s="22"/>
      <c r="C14" s="4"/>
      <c r="D14" s="4"/>
      <c r="E14" s="3"/>
      <c r="F14" s="29" t="s">
        <v>54</v>
      </c>
      <c r="G14" s="313">
        <v>10</v>
      </c>
      <c r="H14" s="314"/>
      <c r="I14" s="5"/>
      <c r="J14" s="313">
        <v>13</v>
      </c>
      <c r="K14" s="314"/>
      <c r="L14" s="5"/>
      <c r="M14" s="313">
        <v>17</v>
      </c>
      <c r="N14" s="315"/>
      <c r="O14" s="11"/>
      <c r="P14" s="10" t="s">
        <v>70</v>
      </c>
    </row>
    <row r="15" spans="1:16" ht="12.75">
      <c r="A15" s="20"/>
      <c r="B15" s="22"/>
      <c r="C15" s="4"/>
      <c r="D15" s="4"/>
      <c r="E15" s="3"/>
      <c r="F15" s="29" t="s">
        <v>55</v>
      </c>
      <c r="G15" s="313">
        <v>14</v>
      </c>
      <c r="H15" s="314"/>
      <c r="I15" s="5"/>
      <c r="J15" s="313">
        <v>13</v>
      </c>
      <c r="K15" s="314"/>
      <c r="L15" s="5"/>
      <c r="M15" s="313">
        <v>15</v>
      </c>
      <c r="N15" s="315"/>
      <c r="O15" s="11"/>
      <c r="P15" s="10" t="s">
        <v>69</v>
      </c>
    </row>
    <row r="16" spans="1:16" ht="12.75">
      <c r="A16" s="20"/>
      <c r="B16" s="22"/>
      <c r="C16" s="4"/>
      <c r="D16" s="4"/>
      <c r="E16" s="3"/>
      <c r="F16" s="29" t="s">
        <v>78</v>
      </c>
      <c r="G16" s="313">
        <v>1</v>
      </c>
      <c r="H16" s="314"/>
      <c r="I16" s="5"/>
      <c r="J16" s="313">
        <v>5</v>
      </c>
      <c r="K16" s="314"/>
      <c r="L16" s="5"/>
      <c r="M16" s="313">
        <v>2</v>
      </c>
      <c r="N16" s="315"/>
      <c r="O16" s="11"/>
      <c r="P16" s="10" t="s">
        <v>86</v>
      </c>
    </row>
    <row r="17" spans="1:15" ht="12.75">
      <c r="A17" s="20"/>
      <c r="B17" s="22" t="s">
        <v>57</v>
      </c>
      <c r="C17" s="4"/>
      <c r="D17" s="4"/>
      <c r="E17" s="3"/>
      <c r="F17" s="29"/>
      <c r="G17" s="58"/>
      <c r="H17" s="58"/>
      <c r="I17" s="5"/>
      <c r="J17" s="58"/>
      <c r="K17" s="58"/>
      <c r="L17" s="5"/>
      <c r="M17" s="58"/>
      <c r="N17" s="59"/>
      <c r="O17" s="11"/>
    </row>
    <row r="18" spans="1:16" ht="11.25">
      <c r="A18" s="20"/>
      <c r="B18" s="22"/>
      <c r="C18" s="6"/>
      <c r="D18" s="6"/>
      <c r="E18" s="7"/>
      <c r="F18" s="30" t="s">
        <v>7</v>
      </c>
      <c r="G18" s="313"/>
      <c r="H18" s="314"/>
      <c r="I18" s="5"/>
      <c r="J18" s="313"/>
      <c r="K18" s="314"/>
      <c r="L18" s="5"/>
      <c r="M18" s="313"/>
      <c r="N18" s="315"/>
      <c r="P18" s="10" t="s">
        <v>28</v>
      </c>
    </row>
    <row r="19" spans="1:16" ht="12.75">
      <c r="A19" s="20"/>
      <c r="B19" s="22"/>
      <c r="C19" s="4"/>
      <c r="D19" s="4"/>
      <c r="E19" s="3"/>
      <c r="F19" s="29" t="s">
        <v>5</v>
      </c>
      <c r="G19" s="316"/>
      <c r="H19" s="317"/>
      <c r="I19" s="5"/>
      <c r="J19" s="316"/>
      <c r="K19" s="317"/>
      <c r="L19" s="5"/>
      <c r="M19" s="316"/>
      <c r="N19" s="318"/>
      <c r="O19" s="11"/>
      <c r="P19" s="10" t="s">
        <v>29</v>
      </c>
    </row>
    <row r="20" spans="1:16" ht="12.75">
      <c r="A20" s="20"/>
      <c r="B20" s="22"/>
      <c r="C20" s="4"/>
      <c r="D20" s="4"/>
      <c r="E20" s="3"/>
      <c r="F20" s="29" t="s">
        <v>58</v>
      </c>
      <c r="G20" s="313"/>
      <c r="H20" s="314"/>
      <c r="I20" s="5"/>
      <c r="J20" s="313"/>
      <c r="K20" s="314"/>
      <c r="L20" s="5"/>
      <c r="M20" s="313"/>
      <c r="N20" s="315"/>
      <c r="O20" s="11"/>
      <c r="P20" s="10" t="s">
        <v>71</v>
      </c>
    </row>
    <row r="21" spans="1:16" ht="12.75">
      <c r="A21" s="20"/>
      <c r="B21" s="22"/>
      <c r="C21" s="4"/>
      <c r="D21" s="4"/>
      <c r="E21" s="3"/>
      <c r="F21" s="29" t="s">
        <v>59</v>
      </c>
      <c r="G21" s="313"/>
      <c r="H21" s="314"/>
      <c r="I21" s="5"/>
      <c r="J21" s="313"/>
      <c r="K21" s="314"/>
      <c r="L21" s="5"/>
      <c r="M21" s="313"/>
      <c r="N21" s="315"/>
      <c r="O21" s="11"/>
      <c r="P21" s="10" t="s">
        <v>83</v>
      </c>
    </row>
    <row r="22" spans="1:16" ht="12.75">
      <c r="A22" s="20"/>
      <c r="B22" s="22"/>
      <c r="C22" s="4"/>
      <c r="D22" s="4"/>
      <c r="E22" s="3"/>
      <c r="F22" s="29" t="s">
        <v>78</v>
      </c>
      <c r="G22" s="313"/>
      <c r="H22" s="314"/>
      <c r="I22" s="5"/>
      <c r="J22" s="313"/>
      <c r="K22" s="314"/>
      <c r="L22" s="5"/>
      <c r="M22" s="313"/>
      <c r="N22" s="315"/>
      <c r="O22" s="11"/>
      <c r="P22" s="10" t="s">
        <v>86</v>
      </c>
    </row>
    <row r="23" spans="1:14" ht="11.25">
      <c r="A23" s="20"/>
      <c r="B23" s="4" t="s">
        <v>6</v>
      </c>
      <c r="C23" s="4"/>
      <c r="D23" s="4"/>
      <c r="E23" s="3"/>
      <c r="F23" s="3"/>
      <c r="G23" s="23"/>
      <c r="H23" s="23"/>
      <c r="I23" s="5"/>
      <c r="J23" s="23"/>
      <c r="K23" s="23"/>
      <c r="L23" s="5"/>
      <c r="M23" s="23"/>
      <c r="N23" s="24"/>
    </row>
    <row r="24" spans="1:16" ht="11.25">
      <c r="A24" s="20"/>
      <c r="B24" s="22"/>
      <c r="C24" s="4"/>
      <c r="D24" s="4"/>
      <c r="E24" s="3"/>
      <c r="F24" s="29" t="s">
        <v>20</v>
      </c>
      <c r="G24" s="293">
        <v>0.134</v>
      </c>
      <c r="H24" s="294"/>
      <c r="I24" s="3"/>
      <c r="J24" s="293">
        <v>0.104</v>
      </c>
      <c r="K24" s="294"/>
      <c r="L24" s="3"/>
      <c r="M24" s="293">
        <v>0.124</v>
      </c>
      <c r="N24" s="295"/>
      <c r="P24" s="10" t="s">
        <v>30</v>
      </c>
    </row>
    <row r="25" spans="1:16" ht="11.25">
      <c r="A25" s="20"/>
      <c r="B25" s="22"/>
      <c r="C25" s="4"/>
      <c r="D25" s="4"/>
      <c r="E25" s="3"/>
      <c r="F25" s="29" t="s">
        <v>21</v>
      </c>
      <c r="G25" s="293">
        <v>0.866</v>
      </c>
      <c r="H25" s="294"/>
      <c r="I25" s="3"/>
      <c r="J25" s="293">
        <v>0.896</v>
      </c>
      <c r="K25" s="294"/>
      <c r="L25" s="3"/>
      <c r="M25" s="293">
        <v>0.876</v>
      </c>
      <c r="N25" s="295"/>
      <c r="P25" s="10" t="s">
        <v>31</v>
      </c>
    </row>
    <row r="26" spans="1:14" ht="11.25">
      <c r="A26" s="62" t="s">
        <v>60</v>
      </c>
      <c r="B26" s="22"/>
      <c r="C26" s="4"/>
      <c r="D26" s="4"/>
      <c r="E26" s="3"/>
      <c r="F26" s="29"/>
      <c r="G26" s="60"/>
      <c r="H26" s="60"/>
      <c r="I26" s="5"/>
      <c r="J26" s="60"/>
      <c r="K26" s="60"/>
      <c r="L26" s="5"/>
      <c r="M26" s="60"/>
      <c r="N26" s="61"/>
    </row>
    <row r="27" spans="1:16" ht="11.25">
      <c r="A27" s="20"/>
      <c r="B27" s="22"/>
      <c r="C27" s="4"/>
      <c r="D27" s="4"/>
      <c r="E27" s="3"/>
      <c r="F27" s="29" t="s">
        <v>61</v>
      </c>
      <c r="G27" s="313">
        <v>500284.13</v>
      </c>
      <c r="H27" s="314"/>
      <c r="I27" s="5"/>
      <c r="J27" s="313">
        <v>510613.77</v>
      </c>
      <c r="K27" s="314"/>
      <c r="L27" s="5"/>
      <c r="M27" s="313">
        <v>499389.39</v>
      </c>
      <c r="N27" s="315"/>
      <c r="P27" s="10" t="s">
        <v>91</v>
      </c>
    </row>
    <row r="28" spans="1:16" ht="11.25">
      <c r="A28" s="20"/>
      <c r="B28" s="22"/>
      <c r="C28" s="4"/>
      <c r="D28" s="4"/>
      <c r="E28" s="3"/>
      <c r="F28" s="29" t="s">
        <v>62</v>
      </c>
      <c r="G28" s="313">
        <v>0</v>
      </c>
      <c r="H28" s="314"/>
      <c r="I28" s="5"/>
      <c r="J28" s="313">
        <v>0</v>
      </c>
      <c r="K28" s="314"/>
      <c r="L28" s="5"/>
      <c r="M28" s="313">
        <v>0</v>
      </c>
      <c r="N28" s="315"/>
      <c r="P28" s="10" t="s">
        <v>91</v>
      </c>
    </row>
    <row r="29" spans="1:16" ht="11.25">
      <c r="A29" s="20"/>
      <c r="B29" s="22"/>
      <c r="C29" s="4"/>
      <c r="D29" s="4"/>
      <c r="E29" s="3"/>
      <c r="F29" s="29" t="s">
        <v>63</v>
      </c>
      <c r="G29" s="310">
        <v>145893.59</v>
      </c>
      <c r="H29" s="311"/>
      <c r="I29" s="5"/>
      <c r="J29" s="310">
        <v>154143.64</v>
      </c>
      <c r="K29" s="311"/>
      <c r="L29" s="5"/>
      <c r="M29" s="310">
        <v>151317.44</v>
      </c>
      <c r="N29" s="312"/>
      <c r="P29" s="10" t="s">
        <v>90</v>
      </c>
    </row>
    <row r="30" spans="1:14" ht="11.25">
      <c r="A30" s="20"/>
      <c r="B30" s="22"/>
      <c r="C30" s="4"/>
      <c r="D30" s="4"/>
      <c r="E30" s="3"/>
      <c r="F30" s="29"/>
      <c r="G30" s="73"/>
      <c r="H30" s="74"/>
      <c r="I30" s="5"/>
      <c r="J30" s="73"/>
      <c r="K30" s="74"/>
      <c r="L30" s="5"/>
      <c r="M30" s="73"/>
      <c r="N30" s="75"/>
    </row>
    <row r="31" spans="1:18" ht="11.25">
      <c r="A31" s="20"/>
      <c r="B31" s="4"/>
      <c r="C31" s="4"/>
      <c r="D31" s="4"/>
      <c r="E31" s="3"/>
      <c r="F31" s="63" t="s">
        <v>64</v>
      </c>
      <c r="G31" s="299">
        <f>SUM(G27:H29)/(G11+G18)</f>
        <v>126.52784805169375</v>
      </c>
      <c r="H31" s="300"/>
      <c r="I31" s="22"/>
      <c r="J31" s="299">
        <f>SUM(J27:K29)/(J11+J18)</f>
        <v>118.72788176460082</v>
      </c>
      <c r="K31" s="300"/>
      <c r="L31" s="22"/>
      <c r="M31" s="299">
        <f>SUM(M27:N29)/(M11+M18)</f>
        <v>124.51336203597398</v>
      </c>
      <c r="N31" s="301"/>
      <c r="O31"/>
      <c r="P31" t="s">
        <v>32</v>
      </c>
      <c r="Q31"/>
      <c r="R31"/>
    </row>
    <row r="32" spans="1:14" ht="11.25">
      <c r="A32" s="21" t="s">
        <v>3</v>
      </c>
      <c r="B32" s="22"/>
      <c r="C32" s="4"/>
      <c r="D32" s="4"/>
      <c r="E32" s="3"/>
      <c r="F32" s="3"/>
      <c r="G32" s="8"/>
      <c r="H32" s="8"/>
      <c r="I32" s="3"/>
      <c r="J32" s="8"/>
      <c r="K32" s="8"/>
      <c r="L32" s="3"/>
      <c r="M32" s="8"/>
      <c r="N32" s="25"/>
    </row>
    <row r="33" spans="1:22" ht="11.25">
      <c r="A33" s="20"/>
      <c r="B33" s="22"/>
      <c r="C33" s="4"/>
      <c r="D33" s="48"/>
      <c r="E33" s="49"/>
      <c r="F33" s="50" t="s">
        <v>43</v>
      </c>
      <c r="G33" s="302">
        <f>1.8+1.3</f>
        <v>3.1</v>
      </c>
      <c r="H33" s="303"/>
      <c r="I33" s="56"/>
      <c r="J33" s="302">
        <f>1.5+1.4</f>
        <v>2.9</v>
      </c>
      <c r="K33" s="303"/>
      <c r="L33" s="56"/>
      <c r="M33" s="302">
        <f>1.8+0.9</f>
        <v>2.7</v>
      </c>
      <c r="N33" s="304"/>
      <c r="O33"/>
      <c r="P33" s="46" t="s">
        <v>47</v>
      </c>
      <c r="Q33" s="47"/>
      <c r="R33" s="47"/>
      <c r="S33" s="46"/>
      <c r="T33" s="46"/>
      <c r="U33" s="46"/>
      <c r="V33" s="46"/>
    </row>
    <row r="34" spans="1:22" ht="11.25">
      <c r="A34" s="20"/>
      <c r="B34" s="22"/>
      <c r="C34" s="4"/>
      <c r="D34" s="48"/>
      <c r="E34" s="49"/>
      <c r="F34" s="50" t="s">
        <v>44</v>
      </c>
      <c r="G34" s="302">
        <f>1.6/36*45</f>
        <v>2</v>
      </c>
      <c r="H34" s="303"/>
      <c r="I34" s="56"/>
      <c r="J34" s="302">
        <f>1.7/36*45</f>
        <v>2.125</v>
      </c>
      <c r="K34" s="303"/>
      <c r="L34" s="56"/>
      <c r="M34" s="302">
        <f>1.6/36*45</f>
        <v>2</v>
      </c>
      <c r="N34" s="304"/>
      <c r="O34"/>
      <c r="P34" s="46" t="s">
        <v>48</v>
      </c>
      <c r="Q34" s="47"/>
      <c r="R34" s="47"/>
      <c r="S34" s="46"/>
      <c r="T34" s="46"/>
      <c r="U34" s="46"/>
      <c r="V34" s="46"/>
    </row>
    <row r="35" spans="1:22" ht="11.25">
      <c r="A35" s="20"/>
      <c r="B35" s="22"/>
      <c r="C35" s="4"/>
      <c r="D35" s="48"/>
      <c r="E35" s="49"/>
      <c r="F35" s="50" t="s">
        <v>45</v>
      </c>
      <c r="G35" s="307">
        <v>0</v>
      </c>
      <c r="H35" s="308"/>
      <c r="I35" s="56"/>
      <c r="J35" s="307">
        <v>0</v>
      </c>
      <c r="K35" s="308"/>
      <c r="L35" s="56"/>
      <c r="M35" s="307">
        <f>0.2/36*45</f>
        <v>0.25</v>
      </c>
      <c r="N35" s="309"/>
      <c r="O35"/>
      <c r="P35" s="46" t="s">
        <v>50</v>
      </c>
      <c r="Q35" s="47"/>
      <c r="R35" s="47"/>
      <c r="S35" s="46"/>
      <c r="T35" s="46"/>
      <c r="U35" s="46"/>
      <c r="V35" s="46"/>
    </row>
    <row r="36" spans="1:22" ht="11.25">
      <c r="A36" s="20"/>
      <c r="B36" s="22"/>
      <c r="C36" s="4"/>
      <c r="D36" s="48"/>
      <c r="E36" s="49"/>
      <c r="F36" s="50" t="s">
        <v>46</v>
      </c>
      <c r="G36" s="305">
        <v>0</v>
      </c>
      <c r="H36" s="305"/>
      <c r="I36" s="56"/>
      <c r="J36" s="305">
        <v>0</v>
      </c>
      <c r="K36" s="305"/>
      <c r="L36" s="56"/>
      <c r="M36" s="305">
        <v>0</v>
      </c>
      <c r="N36" s="306"/>
      <c r="O36"/>
      <c r="P36" s="46" t="s">
        <v>49</v>
      </c>
      <c r="Q36" s="47"/>
      <c r="R36" s="47"/>
      <c r="S36" s="46"/>
      <c r="T36" s="46"/>
      <c r="U36" s="46"/>
      <c r="V36" s="46"/>
    </row>
    <row r="37" spans="1:18" s="69" customFormat="1" ht="11.25">
      <c r="A37" s="64"/>
      <c r="B37" s="65"/>
      <c r="C37" s="66"/>
      <c r="D37" s="66"/>
      <c r="E37" s="5"/>
      <c r="F37" s="67"/>
      <c r="G37" s="70"/>
      <c r="H37" s="70"/>
      <c r="I37" s="68"/>
      <c r="J37" s="70"/>
      <c r="K37" s="70"/>
      <c r="L37" s="68"/>
      <c r="M37" s="70"/>
      <c r="N37" s="71"/>
      <c r="O37" s="12"/>
      <c r="Q37" s="12"/>
      <c r="R37" s="12"/>
    </row>
    <row r="38" spans="1:22" ht="11.25">
      <c r="A38" s="20"/>
      <c r="B38" s="22"/>
      <c r="C38" s="4"/>
      <c r="D38" s="48"/>
      <c r="E38" s="49"/>
      <c r="F38" s="50" t="s">
        <v>66</v>
      </c>
      <c r="G38" s="305">
        <f>1454+1348</f>
        <v>2802</v>
      </c>
      <c r="H38" s="305"/>
      <c r="I38" s="56"/>
      <c r="J38" s="305">
        <f>2058+893</f>
        <v>2951</v>
      </c>
      <c r="K38" s="305"/>
      <c r="L38" s="56"/>
      <c r="M38" s="305">
        <f>1905+934</f>
        <v>2839</v>
      </c>
      <c r="N38" s="306"/>
      <c r="O38"/>
      <c r="P38" s="46" t="s">
        <v>72</v>
      </c>
      <c r="Q38" s="47"/>
      <c r="R38" s="47"/>
      <c r="S38" s="46"/>
      <c r="T38" s="46"/>
      <c r="U38" s="46"/>
      <c r="V38" s="46"/>
    </row>
    <row r="39" spans="1:22" ht="11.25">
      <c r="A39" s="20"/>
      <c r="B39" s="22"/>
      <c r="C39" s="4"/>
      <c r="D39" s="48"/>
      <c r="E39" s="49"/>
      <c r="F39" s="50" t="s">
        <v>65</v>
      </c>
      <c r="G39" s="299">
        <v>2300</v>
      </c>
      <c r="H39" s="300"/>
      <c r="I39" s="56"/>
      <c r="J39" s="299">
        <v>1856</v>
      </c>
      <c r="K39" s="300"/>
      <c r="L39" s="56"/>
      <c r="M39" s="299">
        <v>2111</v>
      </c>
      <c r="N39" s="301"/>
      <c r="O39"/>
      <c r="P39" s="46" t="s">
        <v>73</v>
      </c>
      <c r="Q39" s="47"/>
      <c r="R39" s="47"/>
      <c r="S39" s="46"/>
      <c r="T39" s="46"/>
      <c r="U39" s="46"/>
      <c r="V39" s="46"/>
    </row>
    <row r="40" spans="1:22" ht="11.25">
      <c r="A40" s="20"/>
      <c r="B40" s="22"/>
      <c r="C40" s="4"/>
      <c r="D40" s="48"/>
      <c r="E40" s="49"/>
      <c r="F40" s="50" t="s">
        <v>67</v>
      </c>
      <c r="G40" s="302">
        <v>0</v>
      </c>
      <c r="H40" s="303"/>
      <c r="I40" s="56"/>
      <c r="J40" s="302">
        <v>0</v>
      </c>
      <c r="K40" s="303"/>
      <c r="L40" s="56"/>
      <c r="M40" s="302">
        <v>276</v>
      </c>
      <c r="N40" s="304"/>
      <c r="O40"/>
      <c r="P40" s="46" t="s">
        <v>75</v>
      </c>
      <c r="Q40" s="47"/>
      <c r="R40" s="47"/>
      <c r="S40" s="46"/>
      <c r="T40" s="46"/>
      <c r="U40" s="46"/>
      <c r="V40" s="46"/>
    </row>
    <row r="41" spans="1:22" ht="11.25">
      <c r="A41" s="20"/>
      <c r="B41" s="22"/>
      <c r="C41" s="4"/>
      <c r="D41" s="48"/>
      <c r="E41" s="49"/>
      <c r="F41" s="50" t="s">
        <v>68</v>
      </c>
      <c r="G41" s="302">
        <v>0</v>
      </c>
      <c r="H41" s="303"/>
      <c r="I41" s="56"/>
      <c r="J41" s="302">
        <v>0</v>
      </c>
      <c r="K41" s="303"/>
      <c r="L41" s="56"/>
      <c r="M41" s="302">
        <v>0</v>
      </c>
      <c r="N41" s="304"/>
      <c r="O41"/>
      <c r="P41" s="46" t="s">
        <v>74</v>
      </c>
      <c r="Q41" s="47"/>
      <c r="R41" s="47"/>
      <c r="S41" s="46"/>
      <c r="T41" s="46"/>
      <c r="U41" s="46"/>
      <c r="V41" s="46"/>
    </row>
    <row r="42" spans="1:18" ht="11.25">
      <c r="A42" s="20"/>
      <c r="B42" s="4"/>
      <c r="C42" s="4"/>
      <c r="D42" s="4"/>
      <c r="E42" s="3"/>
      <c r="F42" s="3"/>
      <c r="G42" s="9"/>
      <c r="H42" s="9"/>
      <c r="I42" s="22"/>
      <c r="J42" s="9"/>
      <c r="K42" s="9"/>
      <c r="L42" s="22"/>
      <c r="M42" s="9"/>
      <c r="N42" s="26"/>
      <c r="O42"/>
      <c r="P42"/>
      <c r="Q42"/>
      <c r="R42"/>
    </row>
    <row r="43" spans="1:18" ht="11.25">
      <c r="A43" s="20"/>
      <c r="B43" s="22"/>
      <c r="C43" s="4"/>
      <c r="D43" s="4"/>
      <c r="E43" s="3"/>
      <c r="F43" s="29" t="s">
        <v>22</v>
      </c>
      <c r="G43" s="302">
        <f>+(G11+G18)/(G33+G34)</f>
        <v>1001.372549019608</v>
      </c>
      <c r="H43" s="303"/>
      <c r="I43" s="22"/>
      <c r="J43" s="302">
        <f>+(J11+J18)/(J33+J34)</f>
        <v>1114.2288557213928</v>
      </c>
      <c r="K43" s="303"/>
      <c r="L43" s="22"/>
      <c r="M43" s="302">
        <f>+(M11+M18)/(M33+M34)</f>
        <v>1111.9148936170213</v>
      </c>
      <c r="N43" s="303"/>
      <c r="O43"/>
      <c r="P43" t="s">
        <v>32</v>
      </c>
      <c r="Q43"/>
      <c r="R43"/>
    </row>
    <row r="44" spans="1:18" ht="11.25">
      <c r="A44" s="20"/>
      <c r="B44" s="22"/>
      <c r="C44" s="4"/>
      <c r="D44" s="4"/>
      <c r="E44" s="3"/>
      <c r="F44" s="29" t="s">
        <v>216</v>
      </c>
      <c r="G44" s="332">
        <f>(G11+G18)/SUM(G33:H36)</f>
        <v>1001.372549019608</v>
      </c>
      <c r="H44" s="332"/>
      <c r="I44" s="22"/>
      <c r="J44" s="332">
        <f>(J11+J18)/SUM(J33:K36)</f>
        <v>1114.2288557213928</v>
      </c>
      <c r="K44" s="332"/>
      <c r="L44" s="22"/>
      <c r="M44" s="332">
        <f>(M11+M18)/SUM(M33:N36)</f>
        <v>1055.7575757575758</v>
      </c>
      <c r="N44" s="332"/>
      <c r="O44"/>
      <c r="P44"/>
      <c r="Q44"/>
      <c r="R44"/>
    </row>
    <row r="45" spans="1:17" ht="11.25">
      <c r="A45" s="20"/>
      <c r="B45" s="4"/>
      <c r="C45" s="4"/>
      <c r="D45" s="4"/>
      <c r="E45" s="3"/>
      <c r="F45" s="3"/>
      <c r="G45" s="34" t="s">
        <v>24</v>
      </c>
      <c r="H45" s="34" t="s">
        <v>23</v>
      </c>
      <c r="I45" s="28"/>
      <c r="J45" s="34" t="s">
        <v>24</v>
      </c>
      <c r="K45" s="34" t="s">
        <v>23</v>
      </c>
      <c r="L45" s="28"/>
      <c r="M45" s="34" t="s">
        <v>24</v>
      </c>
      <c r="N45" s="35" t="s">
        <v>23</v>
      </c>
      <c r="O45" s="14"/>
      <c r="P45" s="13"/>
      <c r="Q45" s="31"/>
    </row>
    <row r="46" spans="1:22" ht="11.25">
      <c r="A46" s="20"/>
      <c r="B46" s="4"/>
      <c r="C46" s="4"/>
      <c r="D46" s="52"/>
      <c r="E46" s="53"/>
      <c r="F46" s="54" t="s">
        <v>25</v>
      </c>
      <c r="G46" s="76">
        <v>4</v>
      </c>
      <c r="H46" s="32">
        <f>G46/SUM($G$46:$G$49)</f>
        <v>0.6666666666666666</v>
      </c>
      <c r="I46" s="28"/>
      <c r="J46" s="76">
        <v>4</v>
      </c>
      <c r="K46" s="32">
        <f>J46/SUM($J$46:$J$49)</f>
        <v>0.5657708628005658</v>
      </c>
      <c r="L46" s="28"/>
      <c r="M46" s="76">
        <v>4</v>
      </c>
      <c r="N46" s="36">
        <f>M46/SUM($M$46:$M$49)</f>
        <v>0.5657708628005658</v>
      </c>
      <c r="O46" s="14"/>
      <c r="P46" s="55" t="s">
        <v>84</v>
      </c>
      <c r="Q46" s="51"/>
      <c r="R46" s="55"/>
      <c r="S46" s="55"/>
      <c r="T46" s="55"/>
      <c r="U46" s="55"/>
      <c r="V46" s="55"/>
    </row>
    <row r="47" spans="1:22" ht="11.25">
      <c r="A47" s="20"/>
      <c r="B47" s="4"/>
      <c r="C47" s="4"/>
      <c r="D47" s="52"/>
      <c r="E47" s="53"/>
      <c r="F47" s="54" t="s">
        <v>13</v>
      </c>
      <c r="G47" s="76">
        <v>2</v>
      </c>
      <c r="H47" s="32">
        <f aca="true" t="shared" si="0" ref="H47:H49">G47/SUM($G$46:$G$49)</f>
        <v>0.3333333333333333</v>
      </c>
      <c r="I47" s="28"/>
      <c r="J47" s="76">
        <v>3</v>
      </c>
      <c r="K47" s="32">
        <f aca="true" t="shared" si="1" ref="K47:K49">J47/SUM($J$46:$J$49)</f>
        <v>0.4243281471004243</v>
      </c>
      <c r="L47" s="28"/>
      <c r="M47" s="76">
        <v>3</v>
      </c>
      <c r="N47" s="36">
        <f aca="true" t="shared" si="2" ref="N47:N49">M47/SUM($M$46:$M$49)</f>
        <v>0.4243281471004243</v>
      </c>
      <c r="O47" s="14"/>
      <c r="P47" s="55" t="s">
        <v>84</v>
      </c>
      <c r="Q47" s="51"/>
      <c r="R47" s="55"/>
      <c r="S47" s="55"/>
      <c r="T47" s="55"/>
      <c r="U47" s="55"/>
      <c r="V47" s="55"/>
    </row>
    <row r="48" spans="1:22" ht="11.25">
      <c r="A48" s="20"/>
      <c r="B48" s="4"/>
      <c r="C48" s="4"/>
      <c r="D48" s="52"/>
      <c r="E48" s="53"/>
      <c r="F48" s="54" t="s">
        <v>51</v>
      </c>
      <c r="G48" s="76">
        <v>0</v>
      </c>
      <c r="H48" s="32">
        <f t="shared" si="0"/>
        <v>0</v>
      </c>
      <c r="I48" s="28"/>
      <c r="J48" s="76">
        <v>0.07</v>
      </c>
      <c r="K48" s="32">
        <f t="shared" si="1"/>
        <v>0.009900990099009901</v>
      </c>
      <c r="L48" s="28"/>
      <c r="M48" s="76">
        <v>0.07</v>
      </c>
      <c r="N48" s="36">
        <f t="shared" si="2"/>
        <v>0.009900990099009901</v>
      </c>
      <c r="O48" s="14"/>
      <c r="P48" s="55" t="s">
        <v>85</v>
      </c>
      <c r="Q48" s="51"/>
      <c r="R48" s="55"/>
      <c r="S48" s="55"/>
      <c r="T48" s="55"/>
      <c r="U48" s="55"/>
      <c r="V48" s="55"/>
    </row>
    <row r="49" spans="1:22" ht="11.25">
      <c r="A49" s="20"/>
      <c r="B49" s="4"/>
      <c r="C49" s="4"/>
      <c r="D49" s="52"/>
      <c r="E49" s="53"/>
      <c r="F49" s="54" t="s">
        <v>52</v>
      </c>
      <c r="G49" s="76">
        <v>0</v>
      </c>
      <c r="H49" s="32">
        <f t="shared" si="0"/>
        <v>0</v>
      </c>
      <c r="I49" s="28"/>
      <c r="J49" s="76">
        <v>0</v>
      </c>
      <c r="K49" s="32">
        <f t="shared" si="1"/>
        <v>0</v>
      </c>
      <c r="L49" s="28"/>
      <c r="M49" s="76">
        <v>0</v>
      </c>
      <c r="N49" s="36">
        <f t="shared" si="2"/>
        <v>0</v>
      </c>
      <c r="O49" s="14"/>
      <c r="P49" s="55" t="s">
        <v>85</v>
      </c>
      <c r="Q49" s="51"/>
      <c r="R49" s="55"/>
      <c r="S49" s="55"/>
      <c r="T49" s="55"/>
      <c r="U49" s="55"/>
      <c r="V49" s="55"/>
    </row>
    <row r="50" spans="1:14" ht="11.25">
      <c r="A50" s="21" t="s">
        <v>4</v>
      </c>
      <c r="B50" s="22"/>
      <c r="C50" s="4"/>
      <c r="D50" s="4"/>
      <c r="E50" s="3"/>
      <c r="F50" s="3"/>
      <c r="G50" s="8"/>
      <c r="H50" s="8"/>
      <c r="I50" s="3"/>
      <c r="J50" s="8"/>
      <c r="K50" s="8"/>
      <c r="L50" s="3"/>
      <c r="M50" s="8"/>
      <c r="N50" s="25"/>
    </row>
    <row r="51" spans="1:16" ht="11.25">
      <c r="A51" s="21"/>
      <c r="B51" s="22"/>
      <c r="C51" s="4"/>
      <c r="D51" s="4"/>
      <c r="E51" s="3"/>
      <c r="F51" s="63" t="s">
        <v>77</v>
      </c>
      <c r="G51" s="293">
        <v>0.876</v>
      </c>
      <c r="H51" s="294"/>
      <c r="I51" s="72"/>
      <c r="J51" s="293">
        <v>0.865</v>
      </c>
      <c r="K51" s="294"/>
      <c r="L51" s="72"/>
      <c r="M51" s="293">
        <v>0.865</v>
      </c>
      <c r="N51" s="295"/>
      <c r="P51" s="10" t="s">
        <v>87</v>
      </c>
    </row>
    <row r="52" spans="1:16" ht="11.25">
      <c r="A52" s="21"/>
      <c r="B52" s="22"/>
      <c r="C52" s="4"/>
      <c r="D52" s="4"/>
      <c r="E52" s="3"/>
      <c r="F52" s="63" t="s">
        <v>76</v>
      </c>
      <c r="G52" s="293">
        <v>0.185</v>
      </c>
      <c r="H52" s="294"/>
      <c r="I52" s="72"/>
      <c r="J52" s="293">
        <v>0.182</v>
      </c>
      <c r="K52" s="294"/>
      <c r="L52" s="72"/>
      <c r="M52" s="293">
        <v>0.15</v>
      </c>
      <c r="N52" s="295"/>
      <c r="P52" s="10" t="s">
        <v>79</v>
      </c>
    </row>
    <row r="53" spans="1:16" ht="11" customHeight="1">
      <c r="A53" s="20"/>
      <c r="B53" s="23"/>
      <c r="C53" s="4"/>
      <c r="D53" s="4"/>
      <c r="E53" s="3"/>
      <c r="F53" s="29" t="s">
        <v>10</v>
      </c>
      <c r="G53" s="296">
        <v>5</v>
      </c>
      <c r="H53" s="297"/>
      <c r="I53" s="3"/>
      <c r="J53" s="296">
        <v>4</v>
      </c>
      <c r="K53" s="297"/>
      <c r="L53" s="3"/>
      <c r="M53" s="296">
        <v>6</v>
      </c>
      <c r="N53" s="298"/>
      <c r="P53" s="10" t="s">
        <v>34</v>
      </c>
    </row>
    <row r="54" spans="1:16" ht="11.25">
      <c r="A54" s="20"/>
      <c r="B54" s="23"/>
      <c r="C54" s="4"/>
      <c r="D54" s="4"/>
      <c r="E54" s="3"/>
      <c r="F54" s="29" t="s">
        <v>8</v>
      </c>
      <c r="G54" s="296">
        <v>25</v>
      </c>
      <c r="H54" s="297"/>
      <c r="I54" s="14"/>
      <c r="J54" s="296">
        <v>26</v>
      </c>
      <c r="K54" s="297"/>
      <c r="L54" s="14"/>
      <c r="M54" s="296">
        <v>25</v>
      </c>
      <c r="N54" s="298"/>
      <c r="P54" s="10" t="s">
        <v>36</v>
      </c>
    </row>
    <row r="55" spans="1:16" ht="11.25">
      <c r="A55" s="20"/>
      <c r="B55" s="23"/>
      <c r="C55" s="4"/>
      <c r="D55" s="4"/>
      <c r="E55" s="3"/>
      <c r="F55" s="42" t="s">
        <v>11</v>
      </c>
      <c r="G55" s="296">
        <v>21.4</v>
      </c>
      <c r="H55" s="297"/>
      <c r="I55" s="3"/>
      <c r="J55" s="296">
        <v>24.9</v>
      </c>
      <c r="K55" s="297"/>
      <c r="L55" s="3"/>
      <c r="M55" s="296">
        <v>21.6</v>
      </c>
      <c r="N55" s="298"/>
      <c r="P55" s="10" t="s">
        <v>42</v>
      </c>
    </row>
    <row r="56" spans="1:19" ht="11.25">
      <c r="A56" s="20"/>
      <c r="B56" s="22"/>
      <c r="C56" s="4"/>
      <c r="D56" s="4"/>
      <c r="E56" s="3"/>
      <c r="F56" s="29" t="s">
        <v>9</v>
      </c>
      <c r="G56" s="293">
        <v>0.92</v>
      </c>
      <c r="H56" s="294"/>
      <c r="I56" s="3"/>
      <c r="J56" s="293">
        <v>0.93</v>
      </c>
      <c r="K56" s="294"/>
      <c r="L56" s="3"/>
      <c r="M56" s="293">
        <v>0.91</v>
      </c>
      <c r="N56" s="295"/>
      <c r="P56" s="10" t="s">
        <v>37</v>
      </c>
      <c r="Q56"/>
      <c r="R56"/>
      <c r="S56"/>
    </row>
    <row r="57" spans="1:19" ht="11.25">
      <c r="A57" s="20"/>
      <c r="B57" s="22"/>
      <c r="C57" s="4"/>
      <c r="D57" s="4"/>
      <c r="E57" s="27"/>
      <c r="F57" s="29" t="s">
        <v>12</v>
      </c>
      <c r="G57" s="296">
        <v>0</v>
      </c>
      <c r="H57" s="297"/>
      <c r="I57" s="28"/>
      <c r="J57" s="296">
        <v>0</v>
      </c>
      <c r="K57" s="297"/>
      <c r="L57" s="28"/>
      <c r="M57" s="296">
        <v>0</v>
      </c>
      <c r="N57" s="298"/>
      <c r="P57" s="10" t="s">
        <v>38</v>
      </c>
      <c r="Q57"/>
      <c r="R57"/>
      <c r="S57"/>
    </row>
    <row r="58" spans="1:19" ht="11.25">
      <c r="A58" s="20"/>
      <c r="B58" s="22"/>
      <c r="C58" s="4"/>
      <c r="D58" s="4"/>
      <c r="E58" s="3"/>
      <c r="F58" s="29" t="s">
        <v>19</v>
      </c>
      <c r="G58" s="293">
        <v>0.132</v>
      </c>
      <c r="H58" s="294"/>
      <c r="I58" s="28"/>
      <c r="J58" s="293">
        <v>0.099</v>
      </c>
      <c r="K58" s="294"/>
      <c r="L58" s="28"/>
      <c r="M58" s="293">
        <v>0.147</v>
      </c>
      <c r="N58" s="295"/>
      <c r="P58" s="10" t="s">
        <v>39</v>
      </c>
      <c r="Q58"/>
      <c r="R58"/>
      <c r="S58"/>
    </row>
    <row r="59" spans="1:19" ht="11.25">
      <c r="A59" s="20"/>
      <c r="B59" s="22"/>
      <c r="C59" s="4"/>
      <c r="D59" s="4"/>
      <c r="E59" s="3"/>
      <c r="F59" s="29" t="s">
        <v>0</v>
      </c>
      <c r="G59" s="293">
        <v>-0.021</v>
      </c>
      <c r="H59" s="294"/>
      <c r="I59" s="28"/>
      <c r="J59" s="293">
        <v>-0.067</v>
      </c>
      <c r="K59" s="294"/>
      <c r="L59" s="28"/>
      <c r="M59" s="293">
        <v>0.022</v>
      </c>
      <c r="N59" s="295"/>
      <c r="P59" s="10" t="s">
        <v>40</v>
      </c>
      <c r="Q59"/>
      <c r="R59"/>
      <c r="S59"/>
    </row>
    <row r="60" spans="1:14" ht="11.25">
      <c r="A60" s="21" t="s">
        <v>1</v>
      </c>
      <c r="B60" s="28"/>
      <c r="C60" s="28"/>
      <c r="D60" s="28"/>
      <c r="E60" s="28"/>
      <c r="F60" s="28"/>
      <c r="G60" s="28"/>
      <c r="H60" s="28"/>
      <c r="I60" s="28"/>
      <c r="J60" s="28"/>
      <c r="K60" s="28"/>
      <c r="L60" s="28"/>
      <c r="M60" s="28"/>
      <c r="N60" s="33"/>
    </row>
    <row r="61" spans="1:16" ht="11.25">
      <c r="A61" s="37"/>
      <c r="B61" s="28"/>
      <c r="C61" s="28"/>
      <c r="D61" s="28"/>
      <c r="E61" s="28"/>
      <c r="F61" s="28"/>
      <c r="G61" s="28"/>
      <c r="H61" s="28"/>
      <c r="I61" s="28"/>
      <c r="J61" s="28"/>
      <c r="K61" s="28"/>
      <c r="L61" s="28"/>
      <c r="M61" s="28"/>
      <c r="N61" s="33"/>
      <c r="P61" t="s">
        <v>35</v>
      </c>
    </row>
    <row r="62" spans="1:14" ht="11.25">
      <c r="A62" s="38"/>
      <c r="B62" s="23"/>
      <c r="C62" s="23"/>
      <c r="D62" s="23"/>
      <c r="E62" s="23"/>
      <c r="F62" s="23"/>
      <c r="G62" s="23"/>
      <c r="H62" s="23"/>
      <c r="I62" s="23"/>
      <c r="J62" s="23"/>
      <c r="K62" s="23"/>
      <c r="L62" s="23"/>
      <c r="M62" s="23"/>
      <c r="N62" s="24"/>
    </row>
    <row r="63" spans="1:14" ht="11.25">
      <c r="A63" s="38"/>
      <c r="B63" s="23"/>
      <c r="C63" s="23"/>
      <c r="D63" s="23"/>
      <c r="E63" s="23"/>
      <c r="F63" s="23"/>
      <c r="G63" s="23"/>
      <c r="H63" s="23"/>
      <c r="I63" s="23"/>
      <c r="J63" s="23"/>
      <c r="K63" s="23"/>
      <c r="L63" s="23"/>
      <c r="M63" s="23"/>
      <c r="N63" s="24"/>
    </row>
    <row r="64" spans="1:16" ht="11.25">
      <c r="A64" s="38"/>
      <c r="B64" s="23"/>
      <c r="C64" s="23"/>
      <c r="D64" s="23"/>
      <c r="E64" s="23"/>
      <c r="F64" s="23"/>
      <c r="G64" s="23"/>
      <c r="H64" s="23"/>
      <c r="I64" s="23"/>
      <c r="J64" s="23"/>
      <c r="K64" s="23"/>
      <c r="L64" s="23"/>
      <c r="M64" s="23"/>
      <c r="N64" s="24"/>
      <c r="P64" s="44" t="s">
        <v>41</v>
      </c>
    </row>
    <row r="65" spans="1:14" ht="11.25">
      <c r="A65" s="38"/>
      <c r="B65" s="23"/>
      <c r="C65" s="23"/>
      <c r="D65" s="23"/>
      <c r="E65" s="23"/>
      <c r="F65" s="23"/>
      <c r="G65" s="23"/>
      <c r="H65" s="23"/>
      <c r="I65" s="23"/>
      <c r="J65" s="23"/>
      <c r="K65" s="23"/>
      <c r="L65" s="23"/>
      <c r="M65" s="23"/>
      <c r="N65" s="24"/>
    </row>
    <row r="66" spans="1:14" ht="12.75" thickBot="1">
      <c r="A66" s="39"/>
      <c r="B66" s="40"/>
      <c r="C66" s="40"/>
      <c r="D66" s="40"/>
      <c r="E66" s="40"/>
      <c r="F66" s="40"/>
      <c r="G66" s="40"/>
      <c r="H66" s="40"/>
      <c r="I66" s="40"/>
      <c r="J66" s="40"/>
      <c r="K66" s="40"/>
      <c r="L66" s="40"/>
      <c r="M66" s="40"/>
      <c r="N66" s="41"/>
    </row>
  </sheetData>
  <mergeCells count="122">
    <mergeCell ref="G5:H5"/>
    <mergeCell ref="G6:H6"/>
    <mergeCell ref="G7:H7"/>
    <mergeCell ref="G8:H8"/>
    <mergeCell ref="G9:H9"/>
    <mergeCell ref="J9:K9"/>
    <mergeCell ref="G2:N2"/>
    <mergeCell ref="G3:H3"/>
    <mergeCell ref="J3:K3"/>
    <mergeCell ref="M3:N3"/>
    <mergeCell ref="G4:H4"/>
    <mergeCell ref="J4:K4"/>
    <mergeCell ref="M4:N4"/>
    <mergeCell ref="G13:H13"/>
    <mergeCell ref="J13:K13"/>
    <mergeCell ref="M13:N13"/>
    <mergeCell ref="G14:H14"/>
    <mergeCell ref="J14:K14"/>
    <mergeCell ref="M14:N14"/>
    <mergeCell ref="M9:N9"/>
    <mergeCell ref="G11:H11"/>
    <mergeCell ref="J11:K11"/>
    <mergeCell ref="M11:N11"/>
    <mergeCell ref="G12:H12"/>
    <mergeCell ref="J12:K12"/>
    <mergeCell ref="M12:N12"/>
    <mergeCell ref="G18:H18"/>
    <mergeCell ref="J18:K18"/>
    <mergeCell ref="M18:N18"/>
    <mergeCell ref="G19:H19"/>
    <mergeCell ref="J19:K19"/>
    <mergeCell ref="M19:N19"/>
    <mergeCell ref="G15:H15"/>
    <mergeCell ref="J15:K15"/>
    <mergeCell ref="M15:N15"/>
    <mergeCell ref="G16:H16"/>
    <mergeCell ref="J16:K16"/>
    <mergeCell ref="M16:N16"/>
    <mergeCell ref="G22:H22"/>
    <mergeCell ref="J22:K22"/>
    <mergeCell ref="M22:N22"/>
    <mergeCell ref="G24:H24"/>
    <mergeCell ref="J24:K24"/>
    <mergeCell ref="M24:N24"/>
    <mergeCell ref="G20:H20"/>
    <mergeCell ref="J20:K20"/>
    <mergeCell ref="M20:N20"/>
    <mergeCell ref="G21:H21"/>
    <mergeCell ref="J21:K21"/>
    <mergeCell ref="M21:N21"/>
    <mergeCell ref="G28:H28"/>
    <mergeCell ref="J28:K28"/>
    <mergeCell ref="M28:N28"/>
    <mergeCell ref="G29:H29"/>
    <mergeCell ref="J29:K29"/>
    <mergeCell ref="M29:N29"/>
    <mergeCell ref="G25:H25"/>
    <mergeCell ref="J25:K25"/>
    <mergeCell ref="M25:N25"/>
    <mergeCell ref="G27:H27"/>
    <mergeCell ref="J27:K27"/>
    <mergeCell ref="M27:N27"/>
    <mergeCell ref="G34:H34"/>
    <mergeCell ref="J34:K34"/>
    <mergeCell ref="M34:N34"/>
    <mergeCell ref="G35:H35"/>
    <mergeCell ref="J35:K35"/>
    <mergeCell ref="M35:N35"/>
    <mergeCell ref="G31:H31"/>
    <mergeCell ref="J31:K31"/>
    <mergeCell ref="M31:N31"/>
    <mergeCell ref="G33:H33"/>
    <mergeCell ref="J33:K33"/>
    <mergeCell ref="M33:N33"/>
    <mergeCell ref="G39:H39"/>
    <mergeCell ref="J39:K39"/>
    <mergeCell ref="M39:N39"/>
    <mergeCell ref="G40:H40"/>
    <mergeCell ref="J40:K40"/>
    <mergeCell ref="M40:N40"/>
    <mergeCell ref="G36:H36"/>
    <mergeCell ref="J36:K36"/>
    <mergeCell ref="M36:N36"/>
    <mergeCell ref="G38:H38"/>
    <mergeCell ref="J38:K38"/>
    <mergeCell ref="M38:N38"/>
    <mergeCell ref="G51:H51"/>
    <mergeCell ref="J51:K51"/>
    <mergeCell ref="M51:N51"/>
    <mergeCell ref="G52:H52"/>
    <mergeCell ref="J52:K52"/>
    <mergeCell ref="M52:N52"/>
    <mergeCell ref="G41:H41"/>
    <mergeCell ref="J41:K41"/>
    <mergeCell ref="M41:N41"/>
    <mergeCell ref="G43:H43"/>
    <mergeCell ref="J43:K43"/>
    <mergeCell ref="M43:N43"/>
    <mergeCell ref="G59:H59"/>
    <mergeCell ref="J59:K59"/>
    <mergeCell ref="M59:N59"/>
    <mergeCell ref="G44:H44"/>
    <mergeCell ref="J44:K44"/>
    <mergeCell ref="M44:N44"/>
    <mergeCell ref="G57:H57"/>
    <mergeCell ref="J57:K57"/>
    <mergeCell ref="M57:N57"/>
    <mergeCell ref="G58:H58"/>
    <mergeCell ref="J58:K58"/>
    <mergeCell ref="M58:N58"/>
    <mergeCell ref="G55:H55"/>
    <mergeCell ref="J55:K55"/>
    <mergeCell ref="M55:N55"/>
    <mergeCell ref="G56:H56"/>
    <mergeCell ref="J56:K56"/>
    <mergeCell ref="M56:N56"/>
    <mergeCell ref="G53:H53"/>
    <mergeCell ref="J53:K53"/>
    <mergeCell ref="M53:N53"/>
    <mergeCell ref="G54:H54"/>
    <mergeCell ref="J54:K54"/>
    <mergeCell ref="M54:N54"/>
  </mergeCells>
  <printOptions/>
  <pageMargins left="0.25" right="0.25" top="0.75" bottom="0.75" header="0.3" footer="0.3"/>
  <pageSetup fitToHeight="1" fitToWidth="1" horizontalDpi="1200" verticalDpi="1200" orientation="portrait" scale="94" r:id="rId3"/>
  <colBreaks count="1" manualBreakCount="1">
    <brk id="14" max="16383" man="1"/>
  </colBreaks>
  <legacyDrawing r:id="rId2"/>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V66"/>
  <sheetViews>
    <sheetView showGridLines="0" workbookViewId="0" topLeftCell="A10">
      <selection activeCell="G18" sqref="G18:H18"/>
    </sheetView>
  </sheetViews>
  <sheetFormatPr defaultColWidth="9.00390625" defaultRowHeight="11.25"/>
  <cols>
    <col min="1" max="1" width="4.625" style="1" customWidth="1"/>
    <col min="2" max="5" width="9.00390625" style="1" customWidth="1"/>
    <col min="6" max="6" width="7.125" style="1" customWidth="1"/>
    <col min="7" max="8" width="9.125" style="1" customWidth="1"/>
    <col min="9" max="9" width="1.75390625" style="1" customWidth="1"/>
    <col min="10" max="11" width="9.125" style="1" customWidth="1"/>
    <col min="12" max="12" width="1.75390625" style="1" customWidth="1"/>
    <col min="13" max="14" width="9.125" style="1" customWidth="1"/>
    <col min="15" max="15" width="3.75390625" style="10" customWidth="1"/>
    <col min="16" max="16384" width="9.00390625" style="10" customWidth="1"/>
  </cols>
  <sheetData>
    <row r="1" spans="1:14" s="12" customFormat="1" ht="11.25">
      <c r="A1" s="17" t="s">
        <v>88</v>
      </c>
      <c r="B1" s="18"/>
      <c r="C1" s="18"/>
      <c r="D1" s="18"/>
      <c r="E1" s="18"/>
      <c r="F1" s="18"/>
      <c r="G1" s="18"/>
      <c r="H1" s="18"/>
      <c r="I1" s="18"/>
      <c r="J1" s="18"/>
      <c r="K1" s="18"/>
      <c r="L1" s="18"/>
      <c r="M1" s="18"/>
      <c r="N1" s="19"/>
    </row>
    <row r="2" spans="1:16" s="12" customFormat="1" ht="11.25">
      <c r="A2" s="20" t="s">
        <v>89</v>
      </c>
      <c r="B2" s="15"/>
      <c r="C2" s="15"/>
      <c r="D2" s="15"/>
      <c r="E2" s="15"/>
      <c r="F2" s="15"/>
      <c r="G2" s="328" t="s">
        <v>26</v>
      </c>
      <c r="H2" s="328"/>
      <c r="I2" s="328"/>
      <c r="J2" s="328"/>
      <c r="K2" s="328"/>
      <c r="L2" s="328"/>
      <c r="M2" s="328"/>
      <c r="N2" s="329"/>
      <c r="P2" s="43" t="s">
        <v>27</v>
      </c>
    </row>
    <row r="3" spans="1:14" ht="11.25">
      <c r="A3" s="45"/>
      <c r="B3" s="2"/>
      <c r="C3" s="2"/>
      <c r="D3" s="2"/>
      <c r="E3" s="2"/>
      <c r="F3" s="16" t="s">
        <v>14</v>
      </c>
      <c r="G3" s="330">
        <v>19</v>
      </c>
      <c r="H3" s="327"/>
      <c r="I3" s="2"/>
      <c r="J3" s="330">
        <v>18</v>
      </c>
      <c r="K3" s="327"/>
      <c r="L3" s="2"/>
      <c r="M3" s="330">
        <v>17</v>
      </c>
      <c r="N3" s="331"/>
    </row>
    <row r="4" spans="1:14" ht="11.25">
      <c r="A4" s="20"/>
      <c r="B4" s="2"/>
      <c r="C4" s="2"/>
      <c r="D4" s="2"/>
      <c r="E4" s="2"/>
      <c r="F4" s="16" t="s">
        <v>15</v>
      </c>
      <c r="G4" s="330" t="s">
        <v>80</v>
      </c>
      <c r="H4" s="327"/>
      <c r="I4" s="2"/>
      <c r="J4" s="330" t="s">
        <v>81</v>
      </c>
      <c r="K4" s="327"/>
      <c r="L4" s="2"/>
      <c r="M4" s="330" t="s">
        <v>82</v>
      </c>
      <c r="N4" s="331"/>
    </row>
    <row r="5" spans="1:14" ht="11.25">
      <c r="A5" s="20"/>
      <c r="B5" s="2"/>
      <c r="C5" s="2"/>
      <c r="D5" s="2"/>
      <c r="E5" s="2"/>
      <c r="F5" s="16" t="s">
        <v>16</v>
      </c>
      <c r="G5" s="321" t="s">
        <v>95</v>
      </c>
      <c r="H5" s="322"/>
      <c r="I5" s="2"/>
      <c r="J5" s="28"/>
      <c r="K5" s="28"/>
      <c r="L5" s="28"/>
      <c r="M5" s="28"/>
      <c r="N5" s="33"/>
    </row>
    <row r="6" spans="1:14" ht="11.25">
      <c r="A6" s="20"/>
      <c r="B6" s="2"/>
      <c r="C6" s="2"/>
      <c r="D6" s="2"/>
      <c r="E6" s="2"/>
      <c r="F6" s="16" t="s">
        <v>17</v>
      </c>
      <c r="G6" s="323" t="s">
        <v>169</v>
      </c>
      <c r="H6" s="323"/>
      <c r="I6" s="2"/>
      <c r="J6" s="28"/>
      <c r="K6" s="28"/>
      <c r="L6" s="28"/>
      <c r="M6" s="28"/>
      <c r="N6" s="33"/>
    </row>
    <row r="7" spans="1:14" ht="11.25">
      <c r="A7" s="20"/>
      <c r="B7" s="2"/>
      <c r="C7" s="2"/>
      <c r="D7" s="2"/>
      <c r="E7" s="2"/>
      <c r="F7" s="16" t="s">
        <v>33</v>
      </c>
      <c r="G7" s="324" t="s">
        <v>97</v>
      </c>
      <c r="H7" s="325"/>
      <c r="I7" s="2"/>
      <c r="J7" s="28"/>
      <c r="K7" s="28"/>
      <c r="L7" s="28"/>
      <c r="M7" s="28"/>
      <c r="N7" s="33"/>
    </row>
    <row r="8" spans="1:14" ht="11.25">
      <c r="A8" s="20"/>
      <c r="B8" s="2"/>
      <c r="C8" s="2"/>
      <c r="D8" s="2"/>
      <c r="E8" s="2"/>
      <c r="F8" s="16" t="s">
        <v>18</v>
      </c>
      <c r="G8" s="326">
        <v>43929</v>
      </c>
      <c r="H8" s="327"/>
      <c r="I8" s="2"/>
      <c r="J8" s="28"/>
      <c r="K8" s="28"/>
      <c r="L8" s="28"/>
      <c r="M8" s="28"/>
      <c r="N8" s="33"/>
    </row>
    <row r="9" spans="1:14" ht="12.75">
      <c r="A9" s="21" t="s">
        <v>2</v>
      </c>
      <c r="B9" s="22"/>
      <c r="C9" s="4"/>
      <c r="D9" s="4"/>
      <c r="E9" s="3"/>
      <c r="F9" s="3"/>
      <c r="G9" s="319"/>
      <c r="H9" s="319"/>
      <c r="I9" s="3"/>
      <c r="J9" s="319"/>
      <c r="K9" s="319"/>
      <c r="L9" s="3"/>
      <c r="M9" s="319"/>
      <c r="N9" s="320"/>
    </row>
    <row r="10" spans="1:15" ht="12.75">
      <c r="A10" s="20"/>
      <c r="B10" s="22" t="s">
        <v>56</v>
      </c>
      <c r="C10" s="4"/>
      <c r="D10" s="4"/>
      <c r="E10" s="3"/>
      <c r="F10" s="29"/>
      <c r="G10" s="58"/>
      <c r="H10" s="58"/>
      <c r="I10" s="5"/>
      <c r="J10" s="58"/>
      <c r="K10" s="58"/>
      <c r="L10" s="5"/>
      <c r="M10" s="58"/>
      <c r="N10" s="59"/>
      <c r="O10" s="11"/>
    </row>
    <row r="11" spans="1:16" ht="11.25">
      <c r="A11" s="20"/>
      <c r="B11" s="22"/>
      <c r="C11" s="6"/>
      <c r="D11" s="6"/>
      <c r="E11" s="7"/>
      <c r="F11" s="30" t="s">
        <v>7</v>
      </c>
      <c r="G11" s="313">
        <v>8488</v>
      </c>
      <c r="H11" s="314"/>
      <c r="I11" s="5"/>
      <c r="J11" s="313">
        <v>8697</v>
      </c>
      <c r="K11" s="314"/>
      <c r="L11" s="5"/>
      <c r="M11" s="313">
        <v>8622</v>
      </c>
      <c r="N11" s="315"/>
      <c r="P11" s="10" t="s">
        <v>28</v>
      </c>
    </row>
    <row r="12" spans="1:16" ht="12.75">
      <c r="A12" s="20"/>
      <c r="B12" s="22"/>
      <c r="C12" s="4"/>
      <c r="D12" s="4"/>
      <c r="E12" s="3"/>
      <c r="F12" s="29" t="s">
        <v>5</v>
      </c>
      <c r="G12" s="316">
        <v>-0.008</v>
      </c>
      <c r="H12" s="317"/>
      <c r="I12" s="5"/>
      <c r="J12" s="316">
        <v>-0.13</v>
      </c>
      <c r="K12" s="317"/>
      <c r="L12" s="5"/>
      <c r="M12" s="316">
        <v>-0.195</v>
      </c>
      <c r="N12" s="318"/>
      <c r="O12" s="11"/>
      <c r="P12" s="10" t="s">
        <v>29</v>
      </c>
    </row>
    <row r="13" spans="1:16" ht="12.75">
      <c r="A13" s="20"/>
      <c r="B13" s="22"/>
      <c r="C13" s="4"/>
      <c r="D13" s="4"/>
      <c r="E13" s="3"/>
      <c r="F13" s="29" t="s">
        <v>53</v>
      </c>
      <c r="G13" s="313">
        <v>3</v>
      </c>
      <c r="H13" s="314"/>
      <c r="I13" s="5"/>
      <c r="J13" s="313">
        <v>3</v>
      </c>
      <c r="K13" s="314"/>
      <c r="L13" s="5"/>
      <c r="M13" s="313">
        <v>3</v>
      </c>
      <c r="N13" s="315"/>
      <c r="O13" s="11"/>
      <c r="P13" s="10" t="s">
        <v>71</v>
      </c>
    </row>
    <row r="14" spans="1:16" ht="12.75">
      <c r="A14" s="20"/>
      <c r="B14" s="22"/>
      <c r="C14" s="4"/>
      <c r="D14" s="4"/>
      <c r="E14" s="3"/>
      <c r="F14" s="29" t="s">
        <v>54</v>
      </c>
      <c r="G14" s="313">
        <f>35+37+29</f>
        <v>101</v>
      </c>
      <c r="H14" s="314"/>
      <c r="I14" s="5"/>
      <c r="J14" s="313">
        <f>47+29+28</f>
        <v>104</v>
      </c>
      <c r="K14" s="314"/>
      <c r="L14" s="5"/>
      <c r="M14" s="313">
        <f>45+21+18</f>
        <v>84</v>
      </c>
      <c r="N14" s="315"/>
      <c r="O14" s="11"/>
      <c r="P14" s="10" t="s">
        <v>70</v>
      </c>
    </row>
    <row r="15" spans="1:16" ht="12.75">
      <c r="A15" s="20"/>
      <c r="B15" s="22"/>
      <c r="C15" s="4"/>
      <c r="D15" s="4"/>
      <c r="E15" s="3"/>
      <c r="F15" s="29" t="s">
        <v>55</v>
      </c>
      <c r="G15" s="313">
        <f>18+45</f>
        <v>63</v>
      </c>
      <c r="H15" s="314"/>
      <c r="I15" s="5"/>
      <c r="J15" s="313">
        <f>24+31</f>
        <v>55</v>
      </c>
      <c r="K15" s="314"/>
      <c r="L15" s="5"/>
      <c r="M15" s="313">
        <f>17+21</f>
        <v>38</v>
      </c>
      <c r="N15" s="315"/>
      <c r="O15" s="11"/>
      <c r="P15" s="10" t="s">
        <v>69</v>
      </c>
    </row>
    <row r="16" spans="1:16" ht="12.75">
      <c r="A16" s="20"/>
      <c r="B16" s="22"/>
      <c r="C16" s="4"/>
      <c r="D16" s="4"/>
      <c r="E16" s="3"/>
      <c r="F16" s="29" t="s">
        <v>78</v>
      </c>
      <c r="G16" s="313">
        <v>51</v>
      </c>
      <c r="H16" s="314"/>
      <c r="I16" s="5"/>
      <c r="J16" s="313">
        <v>60</v>
      </c>
      <c r="K16" s="314"/>
      <c r="L16" s="5"/>
      <c r="M16" s="313">
        <v>53</v>
      </c>
      <c r="N16" s="315"/>
      <c r="O16" s="11"/>
      <c r="P16" s="10" t="s">
        <v>86</v>
      </c>
    </row>
    <row r="17" spans="1:15" ht="12.75">
      <c r="A17" s="20"/>
      <c r="B17" s="22" t="s">
        <v>57</v>
      </c>
      <c r="C17" s="4"/>
      <c r="D17" s="4"/>
      <c r="E17" s="3"/>
      <c r="F17" s="29"/>
      <c r="G17" s="58"/>
      <c r="H17" s="58"/>
      <c r="I17" s="5"/>
      <c r="J17" s="58"/>
      <c r="K17" s="58"/>
      <c r="L17" s="5"/>
      <c r="M17" s="58"/>
      <c r="N17" s="59"/>
      <c r="O17" s="11"/>
    </row>
    <row r="18" spans="1:16" ht="11.25">
      <c r="A18" s="20"/>
      <c r="B18" s="22"/>
      <c r="C18" s="6"/>
      <c r="D18" s="6"/>
      <c r="E18" s="7"/>
      <c r="F18" s="30" t="s">
        <v>7</v>
      </c>
      <c r="G18" s="313">
        <v>1388</v>
      </c>
      <c r="H18" s="314"/>
      <c r="I18" s="5"/>
      <c r="J18" s="313">
        <v>1140</v>
      </c>
      <c r="K18" s="314"/>
      <c r="L18" s="5"/>
      <c r="M18" s="313">
        <v>1010</v>
      </c>
      <c r="N18" s="315"/>
      <c r="P18" s="10" t="s">
        <v>28</v>
      </c>
    </row>
    <row r="19" spans="1:16" ht="12.75">
      <c r="A19" s="20"/>
      <c r="B19" s="22"/>
      <c r="C19" s="4"/>
      <c r="D19" s="4"/>
      <c r="E19" s="3"/>
      <c r="F19" s="29" t="s">
        <v>5</v>
      </c>
      <c r="G19" s="316">
        <v>0.172</v>
      </c>
      <c r="H19" s="317"/>
      <c r="I19" s="5"/>
      <c r="J19" s="316">
        <v>-0.011</v>
      </c>
      <c r="K19" s="317"/>
      <c r="L19" s="5"/>
      <c r="M19" s="316">
        <v>-0.096</v>
      </c>
      <c r="N19" s="318"/>
      <c r="O19" s="11"/>
      <c r="P19" s="10" t="s">
        <v>29</v>
      </c>
    </row>
    <row r="20" spans="1:16" ht="12.75">
      <c r="A20" s="20"/>
      <c r="B20" s="22"/>
      <c r="C20" s="4"/>
      <c r="D20" s="4"/>
      <c r="E20" s="3"/>
      <c r="F20" s="29" t="s">
        <v>58</v>
      </c>
      <c r="G20" s="313">
        <v>1</v>
      </c>
      <c r="H20" s="314"/>
      <c r="I20" s="5"/>
      <c r="J20" s="313">
        <v>1</v>
      </c>
      <c r="K20" s="314"/>
      <c r="L20" s="5"/>
      <c r="M20" s="313">
        <v>1</v>
      </c>
      <c r="N20" s="315"/>
      <c r="O20" s="11"/>
      <c r="P20" s="10" t="s">
        <v>71</v>
      </c>
    </row>
    <row r="21" spans="1:16" ht="12.75">
      <c r="A21" s="20"/>
      <c r="B21" s="22"/>
      <c r="C21" s="4"/>
      <c r="D21" s="4"/>
      <c r="E21" s="3"/>
      <c r="F21" s="29" t="s">
        <v>59</v>
      </c>
      <c r="G21" s="313">
        <v>56</v>
      </c>
      <c r="H21" s="314"/>
      <c r="I21" s="5"/>
      <c r="J21" s="313">
        <v>39</v>
      </c>
      <c r="K21" s="314"/>
      <c r="L21" s="5"/>
      <c r="M21" s="313">
        <v>52</v>
      </c>
      <c r="N21" s="315"/>
      <c r="O21" s="11"/>
      <c r="P21" s="10" t="s">
        <v>83</v>
      </c>
    </row>
    <row r="22" spans="1:16" ht="12.75">
      <c r="A22" s="20"/>
      <c r="B22" s="22"/>
      <c r="C22" s="4"/>
      <c r="D22" s="4"/>
      <c r="E22" s="3"/>
      <c r="F22" s="29" t="s">
        <v>78</v>
      </c>
      <c r="G22" s="313">
        <v>15</v>
      </c>
      <c r="H22" s="314"/>
      <c r="I22" s="5"/>
      <c r="J22" s="313">
        <v>16</v>
      </c>
      <c r="K22" s="314"/>
      <c r="L22" s="5"/>
      <c r="M22" s="313">
        <v>27</v>
      </c>
      <c r="N22" s="315"/>
      <c r="O22" s="11"/>
      <c r="P22" s="10" t="s">
        <v>86</v>
      </c>
    </row>
    <row r="23" spans="1:14" ht="11.25">
      <c r="A23" s="20"/>
      <c r="B23" s="4" t="s">
        <v>6</v>
      </c>
      <c r="C23" s="4"/>
      <c r="D23" s="4"/>
      <c r="E23" s="3"/>
      <c r="F23" s="3"/>
      <c r="G23" s="23"/>
      <c r="H23" s="23"/>
      <c r="I23" s="5"/>
      <c r="J23" s="23"/>
      <c r="K23" s="23"/>
      <c r="L23" s="5"/>
      <c r="M23" s="23"/>
      <c r="N23" s="24"/>
    </row>
    <row r="24" spans="1:16" ht="11.25">
      <c r="A24" s="20"/>
      <c r="B24" s="22"/>
      <c r="C24" s="4"/>
      <c r="D24" s="4"/>
      <c r="E24" s="3"/>
      <c r="F24" s="29" t="s">
        <v>20</v>
      </c>
      <c r="G24" s="293">
        <v>0.435</v>
      </c>
      <c r="H24" s="294"/>
      <c r="I24" s="3"/>
      <c r="J24" s="293">
        <v>0.384</v>
      </c>
      <c r="K24" s="294"/>
      <c r="L24" s="3"/>
      <c r="M24" s="293">
        <v>0.318</v>
      </c>
      <c r="N24" s="295"/>
      <c r="P24" s="10" t="s">
        <v>30</v>
      </c>
    </row>
    <row r="25" spans="1:16" ht="11.25">
      <c r="A25" s="20"/>
      <c r="B25" s="22"/>
      <c r="C25" s="4"/>
      <c r="D25" s="4"/>
      <c r="E25" s="3"/>
      <c r="F25" s="29" t="s">
        <v>21</v>
      </c>
      <c r="G25" s="293">
        <v>0.565</v>
      </c>
      <c r="H25" s="294"/>
      <c r="I25" s="3"/>
      <c r="J25" s="293">
        <v>0.616</v>
      </c>
      <c r="K25" s="294"/>
      <c r="L25" s="3"/>
      <c r="M25" s="293">
        <v>0.682</v>
      </c>
      <c r="N25" s="295"/>
      <c r="P25" s="10" t="s">
        <v>31</v>
      </c>
    </row>
    <row r="26" spans="1:14" ht="11.25">
      <c r="A26" s="62" t="s">
        <v>60</v>
      </c>
      <c r="B26" s="22"/>
      <c r="C26" s="4"/>
      <c r="D26" s="4"/>
      <c r="E26" s="3"/>
      <c r="F26" s="29"/>
      <c r="G26" s="60"/>
      <c r="H26" s="60"/>
      <c r="I26" s="5"/>
      <c r="J26" s="60"/>
      <c r="K26" s="60"/>
      <c r="L26" s="5"/>
      <c r="M26" s="60"/>
      <c r="N26" s="61"/>
    </row>
    <row r="27" spans="1:16" ht="11.25">
      <c r="A27" s="20"/>
      <c r="B27" s="22"/>
      <c r="C27" s="4"/>
      <c r="D27" s="4"/>
      <c r="E27" s="3"/>
      <c r="F27" s="29" t="s">
        <v>61</v>
      </c>
      <c r="G27" s="313">
        <f>765302.54+333046.9-G28</f>
        <v>1050487.44</v>
      </c>
      <c r="H27" s="314"/>
      <c r="I27" s="5"/>
      <c r="J27" s="313">
        <f>347972.7-J28+845463.28-9480.54</f>
        <v>1140798.8599999999</v>
      </c>
      <c r="K27" s="314"/>
      <c r="L27" s="5"/>
      <c r="M27" s="313">
        <f>334169.1-M28+796454.7-8798.56-464.57</f>
        <v>1079625.95</v>
      </c>
      <c r="N27" s="315"/>
      <c r="P27" s="10" t="s">
        <v>91</v>
      </c>
    </row>
    <row r="28" spans="1:16" ht="11.25">
      <c r="A28" s="20"/>
      <c r="B28" s="22"/>
      <c r="C28" s="4"/>
      <c r="D28" s="4"/>
      <c r="E28" s="3"/>
      <c r="F28" s="29" t="s">
        <v>62</v>
      </c>
      <c r="G28" s="313">
        <f>44033.02+3828.98</f>
        <v>47862</v>
      </c>
      <c r="H28" s="314"/>
      <c r="I28" s="5"/>
      <c r="J28" s="313">
        <f>3848.04+400.54+38908</f>
        <v>43156.58</v>
      </c>
      <c r="K28" s="314"/>
      <c r="L28" s="5"/>
      <c r="M28" s="313">
        <f>37978.66+3756.06</f>
        <v>41734.72</v>
      </c>
      <c r="N28" s="315"/>
      <c r="P28" s="10" t="s">
        <v>91</v>
      </c>
    </row>
    <row r="29" spans="1:16" ht="11.25">
      <c r="A29" s="20"/>
      <c r="B29" s="22"/>
      <c r="C29" s="4"/>
      <c r="D29" s="4"/>
      <c r="E29" s="3"/>
      <c r="F29" s="29" t="s">
        <v>63</v>
      </c>
      <c r="G29" s="310">
        <f>1702.45+239140.42+90805.02</f>
        <v>331647.89</v>
      </c>
      <c r="H29" s="311"/>
      <c r="I29" s="5"/>
      <c r="J29" s="310">
        <f>252828.44-1579.04+1794.76+101581.9</f>
        <v>354626.06</v>
      </c>
      <c r="K29" s="311"/>
      <c r="L29" s="5"/>
      <c r="M29" s="310">
        <f>98344.19+249922.28+1676.53</f>
        <v>349943</v>
      </c>
      <c r="N29" s="312"/>
      <c r="P29" s="10" t="s">
        <v>90</v>
      </c>
    </row>
    <row r="30" spans="1:14" ht="11.25">
      <c r="A30" s="20"/>
      <c r="B30" s="22"/>
      <c r="C30" s="4"/>
      <c r="D30" s="4"/>
      <c r="E30" s="3"/>
      <c r="F30" s="29"/>
      <c r="G30" s="73"/>
      <c r="H30" s="74"/>
      <c r="I30" s="5"/>
      <c r="J30" s="73"/>
      <c r="K30" s="74"/>
      <c r="L30" s="5"/>
      <c r="M30" s="73"/>
      <c r="N30" s="75"/>
    </row>
    <row r="31" spans="1:18" ht="11.25">
      <c r="A31" s="20"/>
      <c r="B31" s="4"/>
      <c r="C31" s="4"/>
      <c r="D31" s="4"/>
      <c r="E31" s="3"/>
      <c r="F31" s="63" t="s">
        <v>64</v>
      </c>
      <c r="G31" s="299">
        <f>SUM(G27:H29)/(G11+G18)</f>
        <v>144.79519339813692</v>
      </c>
      <c r="H31" s="300"/>
      <c r="I31" s="22"/>
      <c r="J31" s="299">
        <f>SUM(J27:K29)/(J11+J18)</f>
        <v>156.40759377859104</v>
      </c>
      <c r="K31" s="300"/>
      <c r="L31" s="22"/>
      <c r="M31" s="299">
        <f>SUM(M27:N29)/(M11+M18)</f>
        <v>152.75162686877076</v>
      </c>
      <c r="N31" s="301"/>
      <c r="O31"/>
      <c r="P31" t="s">
        <v>32</v>
      </c>
      <c r="Q31"/>
      <c r="R31"/>
    </row>
    <row r="32" spans="1:14" ht="11.25">
      <c r="A32" s="21" t="s">
        <v>3</v>
      </c>
      <c r="B32" s="22"/>
      <c r="C32" s="4"/>
      <c r="D32" s="4"/>
      <c r="E32" s="3"/>
      <c r="F32" s="3"/>
      <c r="G32" s="8"/>
      <c r="H32" s="8"/>
      <c r="I32" s="3"/>
      <c r="J32" s="8"/>
      <c r="K32" s="8"/>
      <c r="L32" s="3"/>
      <c r="M32" s="8"/>
      <c r="N32" s="25"/>
    </row>
    <row r="33" spans="1:22" ht="11.25">
      <c r="A33" s="20"/>
      <c r="B33" s="22"/>
      <c r="C33" s="4"/>
      <c r="D33" s="48"/>
      <c r="E33" s="49"/>
      <c r="F33" s="50" t="s">
        <v>43</v>
      </c>
      <c r="G33" s="302">
        <f>5.8+0.8</f>
        <v>6.6</v>
      </c>
      <c r="H33" s="303"/>
      <c r="I33" s="56"/>
      <c r="J33" s="302">
        <f>5.6+0.7</f>
        <v>6.3</v>
      </c>
      <c r="K33" s="303"/>
      <c r="L33" s="56"/>
      <c r="M33" s="302">
        <f>5.3+1.1</f>
        <v>6.4</v>
      </c>
      <c r="N33" s="304"/>
      <c r="O33"/>
      <c r="P33" s="46" t="s">
        <v>47</v>
      </c>
      <c r="Q33" s="47"/>
      <c r="R33" s="47"/>
      <c r="S33" s="46"/>
      <c r="T33" s="46"/>
      <c r="U33" s="46"/>
      <c r="V33" s="46"/>
    </row>
    <row r="34" spans="1:22" ht="11.25">
      <c r="A34" s="20"/>
      <c r="B34" s="22"/>
      <c r="C34" s="4"/>
      <c r="D34" s="48"/>
      <c r="E34" s="49"/>
      <c r="F34" s="50" t="s">
        <v>44</v>
      </c>
      <c r="G34" s="302">
        <f>1/36*45</f>
        <v>1.25</v>
      </c>
      <c r="H34" s="303"/>
      <c r="I34" s="56"/>
      <c r="J34" s="302">
        <v>2.7</v>
      </c>
      <c r="K34" s="303"/>
      <c r="L34" s="56"/>
      <c r="M34" s="302">
        <f>1.9/36*45</f>
        <v>2.375</v>
      </c>
      <c r="N34" s="304"/>
      <c r="O34"/>
      <c r="P34" s="46" t="s">
        <v>48</v>
      </c>
      <c r="Q34" s="47"/>
      <c r="R34" s="47"/>
      <c r="S34" s="46"/>
      <c r="T34" s="46"/>
      <c r="U34" s="46"/>
      <c r="V34" s="46"/>
    </row>
    <row r="35" spans="1:22" ht="11.25">
      <c r="A35" s="20"/>
      <c r="B35" s="22"/>
      <c r="C35" s="4"/>
      <c r="D35" s="48"/>
      <c r="E35" s="49"/>
      <c r="F35" s="50" t="s">
        <v>45</v>
      </c>
      <c r="G35" s="307">
        <f>0.1/36*45</f>
        <v>0.125</v>
      </c>
      <c r="H35" s="308"/>
      <c r="I35" s="56"/>
      <c r="J35" s="307">
        <v>0</v>
      </c>
      <c r="K35" s="308"/>
      <c r="L35" s="56"/>
      <c r="M35" s="307">
        <f>0.1/36*45</f>
        <v>0.125</v>
      </c>
      <c r="N35" s="309"/>
      <c r="O35"/>
      <c r="P35" s="46" t="s">
        <v>50</v>
      </c>
      <c r="Q35" s="47"/>
      <c r="R35" s="47"/>
      <c r="S35" s="46"/>
      <c r="T35" s="46"/>
      <c r="U35" s="46"/>
      <c r="V35" s="46"/>
    </row>
    <row r="36" spans="1:22" ht="11.25">
      <c r="A36" s="20"/>
      <c r="B36" s="22"/>
      <c r="C36" s="4"/>
      <c r="D36" s="48"/>
      <c r="E36" s="49"/>
      <c r="F36" s="50" t="s">
        <v>46</v>
      </c>
      <c r="G36" s="305">
        <v>0</v>
      </c>
      <c r="H36" s="305"/>
      <c r="I36" s="56"/>
      <c r="J36" s="305">
        <v>0</v>
      </c>
      <c r="K36" s="305"/>
      <c r="L36" s="56"/>
      <c r="M36" s="305">
        <v>0</v>
      </c>
      <c r="N36" s="306"/>
      <c r="O36"/>
      <c r="P36" s="46" t="s">
        <v>49</v>
      </c>
      <c r="Q36" s="47"/>
      <c r="R36" s="47"/>
      <c r="S36" s="46"/>
      <c r="T36" s="46"/>
      <c r="U36" s="46"/>
      <c r="V36" s="46"/>
    </row>
    <row r="37" spans="1:18" s="69" customFormat="1" ht="11.25">
      <c r="A37" s="64"/>
      <c r="B37" s="65"/>
      <c r="C37" s="66"/>
      <c r="D37" s="66"/>
      <c r="E37" s="5"/>
      <c r="F37" s="67"/>
      <c r="G37" s="70"/>
      <c r="H37" s="70"/>
      <c r="I37" s="68"/>
      <c r="J37" s="70"/>
      <c r="K37" s="70"/>
      <c r="L37" s="68"/>
      <c r="M37" s="70"/>
      <c r="N37" s="71"/>
      <c r="O37" s="12"/>
      <c r="Q37" s="12"/>
      <c r="R37" s="12"/>
    </row>
    <row r="38" spans="1:22" ht="11.25">
      <c r="A38" s="20"/>
      <c r="B38" s="22"/>
      <c r="C38" s="4"/>
      <c r="D38" s="48"/>
      <c r="E38" s="49"/>
      <c r="F38" s="50" t="s">
        <v>66</v>
      </c>
      <c r="G38" s="305">
        <f>6522+446</f>
        <v>6968</v>
      </c>
      <c r="H38" s="305"/>
      <c r="I38" s="56"/>
      <c r="J38" s="305">
        <f>5668+378</f>
        <v>6046</v>
      </c>
      <c r="K38" s="305"/>
      <c r="L38" s="56"/>
      <c r="M38" s="305">
        <f>5730+420</f>
        <v>6150</v>
      </c>
      <c r="N38" s="306"/>
      <c r="O38"/>
      <c r="P38" s="46" t="s">
        <v>72</v>
      </c>
      <c r="Q38" s="47"/>
      <c r="R38" s="47"/>
      <c r="S38" s="46"/>
      <c r="T38" s="46"/>
      <c r="U38" s="46"/>
      <c r="V38" s="46"/>
    </row>
    <row r="39" spans="1:22" ht="11.25">
      <c r="A39" s="20"/>
      <c r="B39" s="22"/>
      <c r="C39" s="4"/>
      <c r="D39" s="48"/>
      <c r="E39" s="49"/>
      <c r="F39" s="50" t="s">
        <v>65</v>
      </c>
      <c r="G39" s="299">
        <v>1593</v>
      </c>
      <c r="H39" s="300"/>
      <c r="I39" s="56"/>
      <c r="J39" s="299">
        <v>3791</v>
      </c>
      <c r="K39" s="300"/>
      <c r="L39" s="56"/>
      <c r="M39" s="299">
        <v>3382</v>
      </c>
      <c r="N39" s="301"/>
      <c r="O39"/>
      <c r="P39" s="46" t="s">
        <v>73</v>
      </c>
      <c r="Q39" s="47"/>
      <c r="R39" s="47"/>
      <c r="S39" s="46"/>
      <c r="T39" s="46"/>
      <c r="U39" s="46"/>
      <c r="V39" s="46"/>
    </row>
    <row r="40" spans="1:22" ht="11.25">
      <c r="A40" s="20"/>
      <c r="B40" s="22"/>
      <c r="C40" s="4"/>
      <c r="D40" s="48"/>
      <c r="E40" s="49"/>
      <c r="F40" s="50" t="s">
        <v>67</v>
      </c>
      <c r="G40" s="302">
        <v>160</v>
      </c>
      <c r="H40" s="303"/>
      <c r="I40" s="56"/>
      <c r="J40" s="302">
        <v>0</v>
      </c>
      <c r="K40" s="303"/>
      <c r="L40" s="56"/>
      <c r="M40" s="302">
        <v>100</v>
      </c>
      <c r="N40" s="304"/>
      <c r="O40"/>
      <c r="P40" s="46" t="s">
        <v>75</v>
      </c>
      <c r="Q40" s="47"/>
      <c r="R40" s="47"/>
      <c r="S40" s="46"/>
      <c r="T40" s="46"/>
      <c r="U40" s="46"/>
      <c r="V40" s="46"/>
    </row>
    <row r="41" spans="1:22" ht="11.25">
      <c r="A41" s="20"/>
      <c r="B41" s="22"/>
      <c r="C41" s="4"/>
      <c r="D41" s="48"/>
      <c r="E41" s="49"/>
      <c r="F41" s="50" t="s">
        <v>68</v>
      </c>
      <c r="G41" s="302">
        <v>0</v>
      </c>
      <c r="H41" s="303"/>
      <c r="I41" s="56"/>
      <c r="J41" s="302">
        <v>0</v>
      </c>
      <c r="K41" s="303"/>
      <c r="L41" s="56"/>
      <c r="M41" s="302">
        <v>0</v>
      </c>
      <c r="N41" s="304"/>
      <c r="O41"/>
      <c r="P41" s="46" t="s">
        <v>74</v>
      </c>
      <c r="Q41" s="47"/>
      <c r="R41" s="47"/>
      <c r="S41" s="46"/>
      <c r="T41" s="46"/>
      <c r="U41" s="46"/>
      <c r="V41" s="46"/>
    </row>
    <row r="42" spans="1:18" ht="11.25">
      <c r="A42" s="20"/>
      <c r="B42" s="4"/>
      <c r="C42" s="4"/>
      <c r="D42" s="4"/>
      <c r="E42" s="3"/>
      <c r="F42" s="3"/>
      <c r="G42" s="9"/>
      <c r="H42" s="9"/>
      <c r="I42" s="22"/>
      <c r="J42" s="9"/>
      <c r="K42" s="9"/>
      <c r="L42" s="22"/>
      <c r="M42" s="9"/>
      <c r="N42" s="26"/>
      <c r="O42"/>
      <c r="P42"/>
      <c r="Q42"/>
      <c r="R42"/>
    </row>
    <row r="43" spans="1:18" ht="11.25">
      <c r="A43" s="20"/>
      <c r="B43" s="22"/>
      <c r="C43" s="4"/>
      <c r="D43" s="4"/>
      <c r="E43" s="3"/>
      <c r="F43" s="29" t="s">
        <v>22</v>
      </c>
      <c r="G43" s="302">
        <f>+(G11+G18)/(G33+G34)</f>
        <v>1258.0891719745223</v>
      </c>
      <c r="H43" s="303"/>
      <c r="I43" s="22"/>
      <c r="J43" s="302">
        <f>+(J11+J18)/(J33+J34)</f>
        <v>1093</v>
      </c>
      <c r="K43" s="303"/>
      <c r="L43" s="22"/>
      <c r="M43" s="302">
        <f>+(M11+M18)/(M33+M34)</f>
        <v>1097.6638176638176</v>
      </c>
      <c r="N43" s="303"/>
      <c r="O43"/>
      <c r="P43" t="s">
        <v>32</v>
      </c>
      <c r="Q43"/>
      <c r="R43"/>
    </row>
    <row r="44" spans="1:18" ht="11.25">
      <c r="A44" s="20"/>
      <c r="B44" s="22"/>
      <c r="C44" s="4"/>
      <c r="D44" s="4"/>
      <c r="E44" s="3"/>
      <c r="F44" s="29" t="s">
        <v>216</v>
      </c>
      <c r="G44" s="332">
        <f>(G11+G18)/SUM(G33:H36)</f>
        <v>1238.369905956113</v>
      </c>
      <c r="H44" s="332"/>
      <c r="I44" s="22"/>
      <c r="J44" s="332">
        <f>(J11+J18)/SUM(J33:K36)</f>
        <v>1093</v>
      </c>
      <c r="K44" s="332"/>
      <c r="L44" s="22"/>
      <c r="M44" s="332">
        <f>(M11+M18)/SUM(M33:N36)</f>
        <v>1082.2471910112358</v>
      </c>
      <c r="N44" s="332"/>
      <c r="O44"/>
      <c r="P44"/>
      <c r="Q44"/>
      <c r="R44"/>
    </row>
    <row r="45" spans="1:17" ht="11.25">
      <c r="A45" s="20"/>
      <c r="B45" s="4"/>
      <c r="C45" s="4"/>
      <c r="D45" s="4"/>
      <c r="E45" s="3"/>
      <c r="F45" s="3"/>
      <c r="G45" s="34" t="s">
        <v>24</v>
      </c>
      <c r="H45" s="34" t="s">
        <v>23</v>
      </c>
      <c r="I45" s="28"/>
      <c r="J45" s="34" t="s">
        <v>24</v>
      </c>
      <c r="K45" s="34" t="s">
        <v>23</v>
      </c>
      <c r="L45" s="28"/>
      <c r="M45" s="34" t="s">
        <v>24</v>
      </c>
      <c r="N45" s="35" t="s">
        <v>23</v>
      </c>
      <c r="O45" s="14"/>
      <c r="P45" s="13"/>
      <c r="Q45" s="31"/>
    </row>
    <row r="46" spans="1:22" ht="11.25">
      <c r="A46" s="20"/>
      <c r="B46" s="4"/>
      <c r="C46" s="4"/>
      <c r="D46" s="52"/>
      <c r="E46" s="53"/>
      <c r="F46" s="54" t="s">
        <v>25</v>
      </c>
      <c r="G46" s="76">
        <v>11</v>
      </c>
      <c r="H46" s="32">
        <f>G46/SUM($G$46:$G$49)</f>
        <v>0.9166666666666666</v>
      </c>
      <c r="I46" s="28"/>
      <c r="J46" s="76">
        <v>12</v>
      </c>
      <c r="K46" s="32">
        <f>J46/SUM($J$46:$J$49)</f>
        <v>0.9230769230769231</v>
      </c>
      <c r="L46" s="28"/>
      <c r="M46" s="76">
        <v>12</v>
      </c>
      <c r="N46" s="36">
        <f>M46/SUM($M$46:$M$49)</f>
        <v>0.9230769230769231</v>
      </c>
      <c r="O46" s="14"/>
      <c r="P46" s="55" t="s">
        <v>84</v>
      </c>
      <c r="Q46" s="51"/>
      <c r="R46" s="55"/>
      <c r="S46" s="55"/>
      <c r="T46" s="55"/>
      <c r="U46" s="55"/>
      <c r="V46" s="55"/>
    </row>
    <row r="47" spans="1:22" ht="11.25">
      <c r="A47" s="20"/>
      <c r="B47" s="4"/>
      <c r="C47" s="4"/>
      <c r="D47" s="52"/>
      <c r="E47" s="53"/>
      <c r="F47" s="54" t="s">
        <v>13</v>
      </c>
      <c r="G47" s="76">
        <v>1</v>
      </c>
      <c r="H47" s="32">
        <f aca="true" t="shared" si="0" ref="H47:H49">G47/SUM($G$46:$G$49)</f>
        <v>0.08333333333333333</v>
      </c>
      <c r="I47" s="28"/>
      <c r="J47" s="76">
        <v>1</v>
      </c>
      <c r="K47" s="32">
        <f aca="true" t="shared" si="1" ref="K47:K49">J47/SUM($J$46:$J$49)</f>
        <v>0.07692307692307693</v>
      </c>
      <c r="L47" s="28"/>
      <c r="M47" s="76">
        <v>1</v>
      </c>
      <c r="N47" s="36">
        <f aca="true" t="shared" si="2" ref="N47:N49">M47/SUM($M$46:$M$49)</f>
        <v>0.07692307692307693</v>
      </c>
      <c r="O47" s="14"/>
      <c r="P47" s="55" t="s">
        <v>84</v>
      </c>
      <c r="Q47" s="51"/>
      <c r="R47" s="55"/>
      <c r="S47" s="55"/>
      <c r="T47" s="55"/>
      <c r="U47" s="55"/>
      <c r="V47" s="55"/>
    </row>
    <row r="48" spans="1:22" ht="11.25">
      <c r="A48" s="20"/>
      <c r="B48" s="4"/>
      <c r="C48" s="4"/>
      <c r="D48" s="52"/>
      <c r="E48" s="53"/>
      <c r="F48" s="54" t="s">
        <v>51</v>
      </c>
      <c r="G48" s="76">
        <v>0</v>
      </c>
      <c r="H48" s="32">
        <f t="shared" si="0"/>
        <v>0</v>
      </c>
      <c r="I48" s="28"/>
      <c r="J48" s="76">
        <v>0</v>
      </c>
      <c r="K48" s="32">
        <f t="shared" si="1"/>
        <v>0</v>
      </c>
      <c r="L48" s="28"/>
      <c r="M48" s="76">
        <v>0</v>
      </c>
      <c r="N48" s="36">
        <f t="shared" si="2"/>
        <v>0</v>
      </c>
      <c r="O48" s="14"/>
      <c r="P48" s="55" t="s">
        <v>85</v>
      </c>
      <c r="Q48" s="51"/>
      <c r="R48" s="55"/>
      <c r="S48" s="55"/>
      <c r="T48" s="55"/>
      <c r="U48" s="55"/>
      <c r="V48" s="55"/>
    </row>
    <row r="49" spans="1:22" ht="11.25">
      <c r="A49" s="20"/>
      <c r="B49" s="4"/>
      <c r="C49" s="4"/>
      <c r="D49" s="52"/>
      <c r="E49" s="53"/>
      <c r="F49" s="54" t="s">
        <v>52</v>
      </c>
      <c r="G49" s="76">
        <v>0</v>
      </c>
      <c r="H49" s="32">
        <f t="shared" si="0"/>
        <v>0</v>
      </c>
      <c r="I49" s="28"/>
      <c r="J49" s="76">
        <v>0</v>
      </c>
      <c r="K49" s="32">
        <f t="shared" si="1"/>
        <v>0</v>
      </c>
      <c r="L49" s="28"/>
      <c r="M49" s="76">
        <v>0</v>
      </c>
      <c r="N49" s="36">
        <f t="shared" si="2"/>
        <v>0</v>
      </c>
      <c r="O49" s="14"/>
      <c r="P49" s="55" t="s">
        <v>85</v>
      </c>
      <c r="Q49" s="51"/>
      <c r="R49" s="55"/>
      <c r="S49" s="55"/>
      <c r="T49" s="55"/>
      <c r="U49" s="55"/>
      <c r="V49" s="55"/>
    </row>
    <row r="50" spans="1:14" ht="11.25">
      <c r="A50" s="21" t="s">
        <v>4</v>
      </c>
      <c r="B50" s="22"/>
      <c r="C50" s="4"/>
      <c r="D50" s="4"/>
      <c r="E50" s="3"/>
      <c r="F50" s="3"/>
      <c r="G50" s="8"/>
      <c r="H50" s="8"/>
      <c r="I50" s="3"/>
      <c r="J50" s="8"/>
      <c r="K50" s="8"/>
      <c r="L50" s="3"/>
      <c r="M50" s="8"/>
      <c r="N50" s="25"/>
    </row>
    <row r="51" spans="1:16" ht="11.25">
      <c r="A51" s="21"/>
      <c r="B51" s="22"/>
      <c r="C51" s="4"/>
      <c r="D51" s="4"/>
      <c r="E51" s="3"/>
      <c r="F51" s="63" t="s">
        <v>77</v>
      </c>
      <c r="G51" s="293">
        <v>0.884</v>
      </c>
      <c r="H51" s="294"/>
      <c r="I51" s="72"/>
      <c r="J51" s="293">
        <v>0.925</v>
      </c>
      <c r="K51" s="294"/>
      <c r="L51" s="72"/>
      <c r="M51" s="293">
        <v>0.886</v>
      </c>
      <c r="N51" s="295"/>
      <c r="P51" s="10" t="s">
        <v>87</v>
      </c>
    </row>
    <row r="52" spans="1:16" ht="11.25">
      <c r="A52" s="21"/>
      <c r="B52" s="22"/>
      <c r="C52" s="4"/>
      <c r="D52" s="4"/>
      <c r="E52" s="3"/>
      <c r="F52" s="63" t="s">
        <v>76</v>
      </c>
      <c r="G52" s="293">
        <v>0.139</v>
      </c>
      <c r="H52" s="294"/>
      <c r="I52" s="72"/>
      <c r="J52" s="293">
        <v>0.094</v>
      </c>
      <c r="K52" s="294"/>
      <c r="L52" s="72"/>
      <c r="M52" s="293">
        <v>0.129</v>
      </c>
      <c r="N52" s="295"/>
      <c r="P52" s="10" t="s">
        <v>79</v>
      </c>
    </row>
    <row r="53" spans="1:16" ht="11" customHeight="1">
      <c r="A53" s="20"/>
      <c r="B53" s="23"/>
      <c r="C53" s="4"/>
      <c r="D53" s="4"/>
      <c r="E53" s="3"/>
      <c r="F53" s="29" t="s">
        <v>10</v>
      </c>
      <c r="G53" s="296">
        <v>20</v>
      </c>
      <c r="H53" s="297"/>
      <c r="I53" s="3"/>
      <c r="J53" s="296">
        <v>19</v>
      </c>
      <c r="K53" s="297"/>
      <c r="L53" s="3"/>
      <c r="M53" s="296">
        <v>17</v>
      </c>
      <c r="N53" s="298"/>
      <c r="P53" s="10" t="s">
        <v>34</v>
      </c>
    </row>
    <row r="54" spans="1:16" ht="11.25">
      <c r="A54" s="20"/>
      <c r="B54" s="23"/>
      <c r="C54" s="4"/>
      <c r="D54" s="4"/>
      <c r="E54" s="3"/>
      <c r="F54" s="29" t="s">
        <v>8</v>
      </c>
      <c r="G54" s="296">
        <v>26</v>
      </c>
      <c r="H54" s="297"/>
      <c r="I54" s="14"/>
      <c r="J54" s="296">
        <v>31</v>
      </c>
      <c r="K54" s="297"/>
      <c r="L54" s="14"/>
      <c r="M54" s="296">
        <v>30</v>
      </c>
      <c r="N54" s="298"/>
      <c r="P54" s="10" t="s">
        <v>36</v>
      </c>
    </row>
    <row r="55" spans="1:16" ht="11.25">
      <c r="A55" s="20"/>
      <c r="B55" s="23"/>
      <c r="C55" s="4"/>
      <c r="D55" s="4"/>
      <c r="E55" s="3"/>
      <c r="F55" s="42" t="s">
        <v>11</v>
      </c>
      <c r="G55" s="296">
        <v>19.2</v>
      </c>
      <c r="H55" s="297"/>
      <c r="I55" s="3"/>
      <c r="J55" s="296">
        <v>18.8</v>
      </c>
      <c r="K55" s="297"/>
      <c r="L55" s="3"/>
      <c r="M55" s="296">
        <v>18.3</v>
      </c>
      <c r="N55" s="298"/>
      <c r="P55" s="10" t="s">
        <v>42</v>
      </c>
    </row>
    <row r="56" spans="1:19" ht="11.25">
      <c r="A56" s="20"/>
      <c r="B56" s="22"/>
      <c r="C56" s="4"/>
      <c r="D56" s="4"/>
      <c r="E56" s="3"/>
      <c r="F56" s="29" t="s">
        <v>9</v>
      </c>
      <c r="G56" s="293">
        <v>0.9</v>
      </c>
      <c r="H56" s="294"/>
      <c r="I56" s="3"/>
      <c r="J56" s="293">
        <v>0.96</v>
      </c>
      <c r="K56" s="294"/>
      <c r="L56" s="3"/>
      <c r="M56" s="293">
        <v>0.97</v>
      </c>
      <c r="N56" s="295"/>
      <c r="P56" s="10" t="s">
        <v>37</v>
      </c>
      <c r="Q56"/>
      <c r="R56"/>
      <c r="S56"/>
    </row>
    <row r="57" spans="1:19" ht="11.25">
      <c r="A57" s="20"/>
      <c r="B57" s="22"/>
      <c r="C57" s="4"/>
      <c r="D57" s="4"/>
      <c r="E57" s="27"/>
      <c r="F57" s="29" t="s">
        <v>12</v>
      </c>
      <c r="G57" s="296">
        <v>2</v>
      </c>
      <c r="H57" s="297"/>
      <c r="I57" s="28"/>
      <c r="J57" s="296">
        <v>2</v>
      </c>
      <c r="K57" s="297"/>
      <c r="L57" s="28"/>
      <c r="M57" s="296">
        <v>1</v>
      </c>
      <c r="N57" s="298"/>
      <c r="P57" s="10" t="s">
        <v>38</v>
      </c>
      <c r="Q57"/>
      <c r="R57"/>
      <c r="S57"/>
    </row>
    <row r="58" spans="1:19" ht="11.25">
      <c r="A58" s="20"/>
      <c r="B58" s="22"/>
      <c r="C58" s="4"/>
      <c r="D58" s="4"/>
      <c r="E58" s="3"/>
      <c r="F58" s="29" t="s">
        <v>19</v>
      </c>
      <c r="G58" s="293">
        <v>0.138</v>
      </c>
      <c r="H58" s="294"/>
      <c r="I58" s="28"/>
      <c r="J58" s="293">
        <v>0.13</v>
      </c>
      <c r="K58" s="294"/>
      <c r="L58" s="28"/>
      <c r="M58" s="293">
        <v>0.129</v>
      </c>
      <c r="N58" s="295"/>
      <c r="P58" s="10" t="s">
        <v>39</v>
      </c>
      <c r="Q58"/>
      <c r="R58"/>
      <c r="S58"/>
    </row>
    <row r="59" spans="1:19" ht="11.25">
      <c r="A59" s="20"/>
      <c r="B59" s="22"/>
      <c r="C59" s="4"/>
      <c r="D59" s="4"/>
      <c r="E59" s="3"/>
      <c r="F59" s="29" t="s">
        <v>0</v>
      </c>
      <c r="G59" s="293">
        <v>0.078</v>
      </c>
      <c r="H59" s="294"/>
      <c r="I59" s="28"/>
      <c r="J59" s="293">
        <v>-0.103</v>
      </c>
      <c r="K59" s="294"/>
      <c r="L59" s="28"/>
      <c r="M59" s="293">
        <v>-0.113</v>
      </c>
      <c r="N59" s="295"/>
      <c r="P59" s="10" t="s">
        <v>40</v>
      </c>
      <c r="Q59"/>
      <c r="R59"/>
      <c r="S59"/>
    </row>
    <row r="60" spans="1:14" ht="11.25">
      <c r="A60" s="21" t="s">
        <v>1</v>
      </c>
      <c r="B60" s="28"/>
      <c r="C60" s="28"/>
      <c r="D60" s="28"/>
      <c r="E60" s="28"/>
      <c r="F60" s="28"/>
      <c r="G60" s="28"/>
      <c r="H60" s="28"/>
      <c r="I60" s="28"/>
      <c r="J60" s="28"/>
      <c r="K60" s="28"/>
      <c r="L60" s="28"/>
      <c r="M60" s="28"/>
      <c r="N60" s="33"/>
    </row>
    <row r="61" spans="1:16" ht="11.25">
      <c r="A61" s="37"/>
      <c r="B61" s="28"/>
      <c r="C61" s="28"/>
      <c r="D61" s="28"/>
      <c r="E61" s="28"/>
      <c r="F61" s="28"/>
      <c r="G61" s="28"/>
      <c r="H61" s="28"/>
      <c r="I61" s="28"/>
      <c r="J61" s="28"/>
      <c r="K61" s="28"/>
      <c r="L61" s="28"/>
      <c r="M61" s="28"/>
      <c r="N61" s="33"/>
      <c r="P61" t="s">
        <v>35</v>
      </c>
    </row>
    <row r="62" spans="1:14" ht="11.25">
      <c r="A62" s="38"/>
      <c r="B62" s="23"/>
      <c r="C62" s="23"/>
      <c r="D62" s="23"/>
      <c r="E62" s="23"/>
      <c r="F62" s="23"/>
      <c r="G62" s="23"/>
      <c r="H62" s="23"/>
      <c r="I62" s="23"/>
      <c r="J62" s="23"/>
      <c r="K62" s="23"/>
      <c r="L62" s="23"/>
      <c r="M62" s="23"/>
      <c r="N62" s="24"/>
    </row>
    <row r="63" spans="1:14" ht="11.25">
      <c r="A63" s="38"/>
      <c r="B63" s="23"/>
      <c r="C63" s="23"/>
      <c r="D63" s="23"/>
      <c r="E63" s="23"/>
      <c r="F63" s="23"/>
      <c r="G63" s="23"/>
      <c r="H63" s="23"/>
      <c r="I63" s="23"/>
      <c r="J63" s="23"/>
      <c r="K63" s="23"/>
      <c r="L63" s="23"/>
      <c r="M63" s="23"/>
      <c r="N63" s="24"/>
    </row>
    <row r="64" spans="1:16" ht="11.25">
      <c r="A64" s="38"/>
      <c r="B64" s="23"/>
      <c r="C64" s="23"/>
      <c r="D64" s="23"/>
      <c r="E64" s="23"/>
      <c r="F64" s="23"/>
      <c r="G64" s="23"/>
      <c r="H64" s="23"/>
      <c r="I64" s="23"/>
      <c r="J64" s="23"/>
      <c r="K64" s="23"/>
      <c r="L64" s="23"/>
      <c r="M64" s="23"/>
      <c r="N64" s="24"/>
      <c r="P64" s="44" t="s">
        <v>41</v>
      </c>
    </row>
    <row r="65" spans="1:14" ht="11.25">
      <c r="A65" s="38"/>
      <c r="B65" s="23"/>
      <c r="C65" s="23"/>
      <c r="D65" s="23"/>
      <c r="E65" s="23"/>
      <c r="F65" s="23"/>
      <c r="G65" s="23"/>
      <c r="H65" s="23"/>
      <c r="I65" s="23"/>
      <c r="J65" s="23"/>
      <c r="K65" s="23"/>
      <c r="L65" s="23"/>
      <c r="M65" s="23"/>
      <c r="N65" s="24"/>
    </row>
    <row r="66" spans="1:14" ht="12.75" thickBot="1">
      <c r="A66" s="39"/>
      <c r="B66" s="40"/>
      <c r="C66" s="40"/>
      <c r="D66" s="40"/>
      <c r="E66" s="40"/>
      <c r="F66" s="40"/>
      <c r="G66" s="40"/>
      <c r="H66" s="40"/>
      <c r="I66" s="40"/>
      <c r="J66" s="40"/>
      <c r="K66" s="40"/>
      <c r="L66" s="40"/>
      <c r="M66" s="40"/>
      <c r="N66" s="41"/>
    </row>
  </sheetData>
  <mergeCells count="122">
    <mergeCell ref="G5:H5"/>
    <mergeCell ref="G6:H6"/>
    <mergeCell ref="G7:H7"/>
    <mergeCell ref="G8:H8"/>
    <mergeCell ref="G9:H9"/>
    <mergeCell ref="J9:K9"/>
    <mergeCell ref="G2:N2"/>
    <mergeCell ref="G3:H3"/>
    <mergeCell ref="J3:K3"/>
    <mergeCell ref="M3:N3"/>
    <mergeCell ref="G4:H4"/>
    <mergeCell ref="J4:K4"/>
    <mergeCell ref="M4:N4"/>
    <mergeCell ref="G13:H13"/>
    <mergeCell ref="J13:K13"/>
    <mergeCell ref="M13:N13"/>
    <mergeCell ref="G14:H14"/>
    <mergeCell ref="J14:K14"/>
    <mergeCell ref="M14:N14"/>
    <mergeCell ref="M9:N9"/>
    <mergeCell ref="G11:H11"/>
    <mergeCell ref="J11:K11"/>
    <mergeCell ref="M11:N11"/>
    <mergeCell ref="G12:H12"/>
    <mergeCell ref="J12:K12"/>
    <mergeCell ref="M12:N12"/>
    <mergeCell ref="G18:H18"/>
    <mergeCell ref="J18:K18"/>
    <mergeCell ref="M18:N18"/>
    <mergeCell ref="G19:H19"/>
    <mergeCell ref="J19:K19"/>
    <mergeCell ref="M19:N19"/>
    <mergeCell ref="G15:H15"/>
    <mergeCell ref="J15:K15"/>
    <mergeCell ref="M15:N15"/>
    <mergeCell ref="G16:H16"/>
    <mergeCell ref="J16:K16"/>
    <mergeCell ref="M16:N16"/>
    <mergeCell ref="G22:H22"/>
    <mergeCell ref="J22:K22"/>
    <mergeCell ref="M22:N22"/>
    <mergeCell ref="G24:H24"/>
    <mergeCell ref="J24:K24"/>
    <mergeCell ref="M24:N24"/>
    <mergeCell ref="G20:H20"/>
    <mergeCell ref="J20:K20"/>
    <mergeCell ref="M20:N20"/>
    <mergeCell ref="G21:H21"/>
    <mergeCell ref="J21:K21"/>
    <mergeCell ref="M21:N21"/>
    <mergeCell ref="G28:H28"/>
    <mergeCell ref="J28:K28"/>
    <mergeCell ref="M28:N28"/>
    <mergeCell ref="G29:H29"/>
    <mergeCell ref="J29:K29"/>
    <mergeCell ref="M29:N29"/>
    <mergeCell ref="G25:H25"/>
    <mergeCell ref="J25:K25"/>
    <mergeCell ref="M25:N25"/>
    <mergeCell ref="G27:H27"/>
    <mergeCell ref="J27:K27"/>
    <mergeCell ref="M27:N27"/>
    <mergeCell ref="G34:H34"/>
    <mergeCell ref="J34:K34"/>
    <mergeCell ref="M34:N34"/>
    <mergeCell ref="G35:H35"/>
    <mergeCell ref="J35:K35"/>
    <mergeCell ref="M35:N35"/>
    <mergeCell ref="G31:H31"/>
    <mergeCell ref="J31:K31"/>
    <mergeCell ref="M31:N31"/>
    <mergeCell ref="G33:H33"/>
    <mergeCell ref="J33:K33"/>
    <mergeCell ref="M33:N33"/>
    <mergeCell ref="G39:H39"/>
    <mergeCell ref="J39:K39"/>
    <mergeCell ref="M39:N39"/>
    <mergeCell ref="G40:H40"/>
    <mergeCell ref="J40:K40"/>
    <mergeCell ref="M40:N40"/>
    <mergeCell ref="G36:H36"/>
    <mergeCell ref="J36:K36"/>
    <mergeCell ref="M36:N36"/>
    <mergeCell ref="G38:H38"/>
    <mergeCell ref="J38:K38"/>
    <mergeCell ref="M38:N38"/>
    <mergeCell ref="G51:H51"/>
    <mergeCell ref="J51:K51"/>
    <mergeCell ref="M51:N51"/>
    <mergeCell ref="G52:H52"/>
    <mergeCell ref="J52:K52"/>
    <mergeCell ref="M52:N52"/>
    <mergeCell ref="G41:H41"/>
    <mergeCell ref="J41:K41"/>
    <mergeCell ref="M41:N41"/>
    <mergeCell ref="G43:H43"/>
    <mergeCell ref="J43:K43"/>
    <mergeCell ref="M43:N43"/>
    <mergeCell ref="G59:H59"/>
    <mergeCell ref="J59:K59"/>
    <mergeCell ref="M59:N59"/>
    <mergeCell ref="G44:H44"/>
    <mergeCell ref="J44:K44"/>
    <mergeCell ref="M44:N44"/>
    <mergeCell ref="G57:H57"/>
    <mergeCell ref="J57:K57"/>
    <mergeCell ref="M57:N57"/>
    <mergeCell ref="G58:H58"/>
    <mergeCell ref="J58:K58"/>
    <mergeCell ref="M58:N58"/>
    <mergeCell ref="G55:H55"/>
    <mergeCell ref="J55:K55"/>
    <mergeCell ref="M55:N55"/>
    <mergeCell ref="G56:H56"/>
    <mergeCell ref="J56:K56"/>
    <mergeCell ref="M56:N56"/>
    <mergeCell ref="G53:H53"/>
    <mergeCell ref="J53:K53"/>
    <mergeCell ref="M53:N53"/>
    <mergeCell ref="G54:H54"/>
    <mergeCell ref="J54:K54"/>
    <mergeCell ref="M54:N54"/>
  </mergeCells>
  <printOptions/>
  <pageMargins left="0.25" right="0.25" top="0.75" bottom="0.75" header="0.3" footer="0.3"/>
  <pageSetup fitToHeight="1" fitToWidth="1" horizontalDpi="1200" verticalDpi="1200" orientation="portrait" scale="94" r:id="rId3"/>
  <colBreaks count="1" manualBreakCount="1">
    <brk id="14" max="16383" man="1"/>
  </colBreaks>
  <legacyDrawing r:id="rId2"/>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V66"/>
  <sheetViews>
    <sheetView showGridLines="0" workbookViewId="0" topLeftCell="A19">
      <selection activeCell="M43" sqref="M43:N43"/>
    </sheetView>
  </sheetViews>
  <sheetFormatPr defaultColWidth="9.00390625" defaultRowHeight="11.25"/>
  <cols>
    <col min="1" max="1" width="4.625" style="1" customWidth="1"/>
    <col min="2" max="5" width="9.00390625" style="1" customWidth="1"/>
    <col min="6" max="6" width="7.125" style="1" customWidth="1"/>
    <col min="7" max="8" width="9.125" style="1" customWidth="1"/>
    <col min="9" max="9" width="1.75390625" style="1" customWidth="1"/>
    <col min="10" max="11" width="9.125" style="1" customWidth="1"/>
    <col min="12" max="12" width="1.75390625" style="1" customWidth="1"/>
    <col min="13" max="14" width="9.125" style="1" customWidth="1"/>
    <col min="15" max="15" width="3.75390625" style="10" customWidth="1"/>
    <col min="16" max="16384" width="9.00390625" style="10" customWidth="1"/>
  </cols>
  <sheetData>
    <row r="1" spans="1:14" s="12" customFormat="1" ht="11.25">
      <c r="A1" s="17" t="s">
        <v>88</v>
      </c>
      <c r="B1" s="18"/>
      <c r="C1" s="18"/>
      <c r="D1" s="18"/>
      <c r="E1" s="18"/>
      <c r="F1" s="18"/>
      <c r="G1" s="18"/>
      <c r="H1" s="18"/>
      <c r="I1" s="18"/>
      <c r="J1" s="18"/>
      <c r="K1" s="18"/>
      <c r="L1" s="18"/>
      <c r="M1" s="18"/>
      <c r="N1" s="19"/>
    </row>
    <row r="2" spans="1:16" s="12" customFormat="1" ht="11.25">
      <c r="A2" s="20" t="s">
        <v>89</v>
      </c>
      <c r="B2" s="15"/>
      <c r="C2" s="15"/>
      <c r="D2" s="15"/>
      <c r="E2" s="15"/>
      <c r="F2" s="15"/>
      <c r="G2" s="328" t="s">
        <v>26</v>
      </c>
      <c r="H2" s="328"/>
      <c r="I2" s="328"/>
      <c r="J2" s="328"/>
      <c r="K2" s="328"/>
      <c r="L2" s="328"/>
      <c r="M2" s="328"/>
      <c r="N2" s="329"/>
      <c r="P2" s="43" t="s">
        <v>27</v>
      </c>
    </row>
    <row r="3" spans="1:14" ht="11.25">
      <c r="A3" s="45"/>
      <c r="B3" s="2"/>
      <c r="C3" s="2"/>
      <c r="D3" s="2"/>
      <c r="E3" s="2"/>
      <c r="F3" s="16" t="s">
        <v>14</v>
      </c>
      <c r="G3" s="330">
        <v>19</v>
      </c>
      <c r="H3" s="327"/>
      <c r="I3" s="2"/>
      <c r="J3" s="330">
        <v>18</v>
      </c>
      <c r="K3" s="327"/>
      <c r="L3" s="2"/>
      <c r="M3" s="330">
        <v>17</v>
      </c>
      <c r="N3" s="331"/>
    </row>
    <row r="4" spans="1:14" ht="11.25">
      <c r="A4" s="20"/>
      <c r="B4" s="2"/>
      <c r="C4" s="2"/>
      <c r="D4" s="2"/>
      <c r="E4" s="2"/>
      <c r="F4" s="16" t="s">
        <v>15</v>
      </c>
      <c r="G4" s="330" t="s">
        <v>80</v>
      </c>
      <c r="H4" s="327"/>
      <c r="I4" s="2"/>
      <c r="J4" s="330" t="s">
        <v>81</v>
      </c>
      <c r="K4" s="327"/>
      <c r="L4" s="2"/>
      <c r="M4" s="330" t="s">
        <v>82</v>
      </c>
      <c r="N4" s="331"/>
    </row>
    <row r="5" spans="1:14" ht="11.25">
      <c r="A5" s="20"/>
      <c r="B5" s="2"/>
      <c r="C5" s="2"/>
      <c r="D5" s="2"/>
      <c r="E5" s="2"/>
      <c r="F5" s="16" t="s">
        <v>16</v>
      </c>
      <c r="G5" s="321" t="s">
        <v>95</v>
      </c>
      <c r="H5" s="322"/>
      <c r="I5" s="2"/>
      <c r="J5" s="28"/>
      <c r="K5" s="28"/>
      <c r="L5" s="28"/>
      <c r="M5" s="28"/>
      <c r="N5" s="33"/>
    </row>
    <row r="6" spans="1:14" ht="11.25">
      <c r="A6" s="20"/>
      <c r="B6" s="2"/>
      <c r="C6" s="2"/>
      <c r="D6" s="2"/>
      <c r="E6" s="2"/>
      <c r="F6" s="16" t="s">
        <v>17</v>
      </c>
      <c r="G6" s="323" t="s">
        <v>170</v>
      </c>
      <c r="H6" s="323"/>
      <c r="I6" s="2"/>
      <c r="J6" s="28"/>
      <c r="K6" s="28"/>
      <c r="L6" s="28"/>
      <c r="M6" s="28"/>
      <c r="N6" s="33"/>
    </row>
    <row r="7" spans="1:14" ht="11.25">
      <c r="A7" s="20"/>
      <c r="B7" s="2"/>
      <c r="C7" s="2"/>
      <c r="D7" s="2"/>
      <c r="E7" s="2"/>
      <c r="F7" s="16" t="s">
        <v>33</v>
      </c>
      <c r="G7" s="324" t="s">
        <v>149</v>
      </c>
      <c r="H7" s="325"/>
      <c r="I7" s="2"/>
      <c r="J7" s="28"/>
      <c r="K7" s="28"/>
      <c r="L7" s="28"/>
      <c r="M7" s="28"/>
      <c r="N7" s="33"/>
    </row>
    <row r="8" spans="1:14" ht="11.25">
      <c r="A8" s="20"/>
      <c r="B8" s="2"/>
      <c r="C8" s="2"/>
      <c r="D8" s="2"/>
      <c r="E8" s="2"/>
      <c r="F8" s="16" t="s">
        <v>18</v>
      </c>
      <c r="G8" s="326">
        <v>43935</v>
      </c>
      <c r="H8" s="327"/>
      <c r="I8" s="2"/>
      <c r="J8" s="28"/>
      <c r="K8" s="28"/>
      <c r="L8" s="28"/>
      <c r="M8" s="28"/>
      <c r="N8" s="33"/>
    </row>
    <row r="9" spans="1:14" ht="12.75">
      <c r="A9" s="21" t="s">
        <v>2</v>
      </c>
      <c r="B9" s="22"/>
      <c r="C9" s="4"/>
      <c r="D9" s="4"/>
      <c r="E9" s="3"/>
      <c r="F9" s="3"/>
      <c r="G9" s="319"/>
      <c r="H9" s="319"/>
      <c r="I9" s="3"/>
      <c r="J9" s="319"/>
      <c r="K9" s="319"/>
      <c r="L9" s="3"/>
      <c r="M9" s="319"/>
      <c r="N9" s="320"/>
    </row>
    <row r="10" spans="1:15" ht="12.75">
      <c r="A10" s="20"/>
      <c r="B10" s="22" t="s">
        <v>56</v>
      </c>
      <c r="C10" s="4"/>
      <c r="D10" s="4"/>
      <c r="E10" s="3"/>
      <c r="F10" s="29"/>
      <c r="G10" s="58"/>
      <c r="H10" s="58"/>
      <c r="I10" s="5"/>
      <c r="J10" s="58"/>
      <c r="K10" s="58"/>
      <c r="L10" s="5"/>
      <c r="M10" s="58"/>
      <c r="N10" s="59"/>
      <c r="O10" s="11"/>
    </row>
    <row r="11" spans="1:16" ht="11.25">
      <c r="A11" s="20"/>
      <c r="B11" s="22"/>
      <c r="C11" s="6"/>
      <c r="D11" s="6"/>
      <c r="E11" s="7"/>
      <c r="F11" s="30" t="s">
        <v>7</v>
      </c>
      <c r="G11" s="313">
        <v>30383</v>
      </c>
      <c r="H11" s="314"/>
      <c r="I11" s="5"/>
      <c r="J11" s="313">
        <v>29126</v>
      </c>
      <c r="K11" s="314"/>
      <c r="L11" s="5"/>
      <c r="M11" s="313">
        <v>29289</v>
      </c>
      <c r="N11" s="315"/>
      <c r="P11" s="10" t="s">
        <v>28</v>
      </c>
    </row>
    <row r="12" spans="1:16" ht="12.75">
      <c r="A12" s="20"/>
      <c r="B12" s="22"/>
      <c r="C12" s="4"/>
      <c r="D12" s="4"/>
      <c r="E12" s="3"/>
      <c r="F12" s="29" t="s">
        <v>5</v>
      </c>
      <c r="G12" s="316">
        <v>0.043</v>
      </c>
      <c r="H12" s="317"/>
      <c r="I12" s="5"/>
      <c r="J12" s="316">
        <v>-0.006</v>
      </c>
      <c r="K12" s="317"/>
      <c r="L12" s="5"/>
      <c r="M12" s="316">
        <v>-0.051</v>
      </c>
      <c r="N12" s="318"/>
      <c r="O12" s="11"/>
      <c r="P12" s="10" t="s">
        <v>29</v>
      </c>
    </row>
    <row r="13" spans="1:16" ht="12.75">
      <c r="A13" s="20"/>
      <c r="B13" s="22"/>
      <c r="C13" s="4"/>
      <c r="D13" s="4"/>
      <c r="E13" s="3"/>
      <c r="F13" s="29" t="s">
        <v>53</v>
      </c>
      <c r="G13" s="313">
        <v>2</v>
      </c>
      <c r="H13" s="314"/>
      <c r="I13" s="5"/>
      <c r="J13" s="313">
        <v>2</v>
      </c>
      <c r="K13" s="314"/>
      <c r="L13" s="5"/>
      <c r="M13" s="313">
        <v>2</v>
      </c>
      <c r="N13" s="315"/>
      <c r="O13" s="11"/>
      <c r="P13" s="10" t="s">
        <v>71</v>
      </c>
    </row>
    <row r="14" spans="1:16" ht="12.75">
      <c r="A14" s="20"/>
      <c r="B14" s="22"/>
      <c r="C14" s="4"/>
      <c r="D14" s="4"/>
      <c r="E14" s="3"/>
      <c r="F14" s="29" t="s">
        <v>54</v>
      </c>
      <c r="G14" s="313">
        <f>177+143</f>
        <v>320</v>
      </c>
      <c r="H14" s="314"/>
      <c r="I14" s="5"/>
      <c r="J14" s="313">
        <f>202+144</f>
        <v>346</v>
      </c>
      <c r="K14" s="314"/>
      <c r="L14" s="5"/>
      <c r="M14" s="313">
        <f>224+106</f>
        <v>330</v>
      </c>
      <c r="N14" s="315"/>
      <c r="O14" s="11"/>
      <c r="P14" s="10" t="s">
        <v>70</v>
      </c>
    </row>
    <row r="15" spans="1:16" ht="12.75">
      <c r="A15" s="20"/>
      <c r="B15" s="22"/>
      <c r="C15" s="4"/>
      <c r="D15" s="4"/>
      <c r="E15" s="3"/>
      <c r="F15" s="29" t="s">
        <v>55</v>
      </c>
      <c r="G15" s="313">
        <f>7+204</f>
        <v>211</v>
      </c>
      <c r="H15" s="314"/>
      <c r="I15" s="5"/>
      <c r="J15" s="313">
        <v>265</v>
      </c>
      <c r="K15" s="314"/>
      <c r="L15" s="5"/>
      <c r="M15" s="313">
        <v>241</v>
      </c>
      <c r="N15" s="315"/>
      <c r="O15" s="11"/>
      <c r="P15" s="10" t="s">
        <v>69</v>
      </c>
    </row>
    <row r="16" spans="1:16" ht="12.75">
      <c r="A16" s="20"/>
      <c r="B16" s="22"/>
      <c r="C16" s="4"/>
      <c r="D16" s="4"/>
      <c r="E16" s="3"/>
      <c r="F16" s="29" t="s">
        <v>78</v>
      </c>
      <c r="G16" s="313">
        <v>190</v>
      </c>
      <c r="H16" s="314"/>
      <c r="I16" s="5"/>
      <c r="J16" s="313">
        <v>185</v>
      </c>
      <c r="K16" s="314"/>
      <c r="L16" s="5"/>
      <c r="M16" s="313">
        <v>171</v>
      </c>
      <c r="N16" s="315"/>
      <c r="O16" s="11"/>
      <c r="P16" s="10" t="s">
        <v>86</v>
      </c>
    </row>
    <row r="17" spans="1:15" ht="12.75">
      <c r="A17" s="20"/>
      <c r="B17" s="22" t="s">
        <v>57</v>
      </c>
      <c r="C17" s="4"/>
      <c r="D17" s="4"/>
      <c r="E17" s="3"/>
      <c r="F17" s="29"/>
      <c r="G17" s="58"/>
      <c r="H17" s="58"/>
      <c r="I17" s="5"/>
      <c r="J17" s="58"/>
      <c r="K17" s="58"/>
      <c r="L17" s="5"/>
      <c r="M17" s="58"/>
      <c r="N17" s="59"/>
      <c r="O17" s="11"/>
    </row>
    <row r="18" spans="1:16" ht="11.25">
      <c r="A18" s="20"/>
      <c r="B18" s="22"/>
      <c r="C18" s="6"/>
      <c r="D18" s="6"/>
      <c r="E18" s="7"/>
      <c r="F18" s="30" t="s">
        <v>7</v>
      </c>
      <c r="G18" s="313">
        <v>2480</v>
      </c>
      <c r="H18" s="314"/>
      <c r="I18" s="5"/>
      <c r="J18" s="313">
        <v>3633</v>
      </c>
      <c r="K18" s="314"/>
      <c r="L18" s="5"/>
      <c r="M18" s="313">
        <v>3926</v>
      </c>
      <c r="N18" s="315"/>
      <c r="P18" s="10" t="s">
        <v>28</v>
      </c>
    </row>
    <row r="19" spans="1:16" ht="12.75">
      <c r="A19" s="20"/>
      <c r="B19" s="22"/>
      <c r="C19" s="4"/>
      <c r="D19" s="4"/>
      <c r="E19" s="3"/>
      <c r="F19" s="29" t="s">
        <v>5</v>
      </c>
      <c r="G19" s="316">
        <v>-0.317</v>
      </c>
      <c r="H19" s="317"/>
      <c r="I19" s="5"/>
      <c r="J19" s="316">
        <v>-0.075</v>
      </c>
      <c r="K19" s="317"/>
      <c r="L19" s="5"/>
      <c r="M19" s="316">
        <v>0.054</v>
      </c>
      <c r="N19" s="318"/>
      <c r="O19" s="11"/>
      <c r="P19" s="10" t="s">
        <v>29</v>
      </c>
    </row>
    <row r="20" spans="1:16" ht="12.75">
      <c r="A20" s="20"/>
      <c r="B20" s="22"/>
      <c r="C20" s="4"/>
      <c r="D20" s="4"/>
      <c r="E20" s="3"/>
      <c r="F20" s="29" t="s">
        <v>58</v>
      </c>
      <c r="G20" s="313">
        <v>5</v>
      </c>
      <c r="H20" s="314"/>
      <c r="I20" s="5"/>
      <c r="J20" s="313">
        <v>5</v>
      </c>
      <c r="K20" s="314"/>
      <c r="L20" s="5"/>
      <c r="M20" s="313">
        <v>5</v>
      </c>
      <c r="N20" s="315"/>
      <c r="O20" s="11"/>
      <c r="P20" s="10" t="s">
        <v>71</v>
      </c>
    </row>
    <row r="21" spans="1:16" ht="12.75">
      <c r="A21" s="20"/>
      <c r="B21" s="22"/>
      <c r="C21" s="4"/>
      <c r="D21" s="4"/>
      <c r="E21" s="3"/>
      <c r="F21" s="29" t="s">
        <v>59</v>
      </c>
      <c r="G21" s="313">
        <v>72</v>
      </c>
      <c r="H21" s="314"/>
      <c r="I21" s="5"/>
      <c r="J21" s="313">
        <v>99</v>
      </c>
      <c r="K21" s="314"/>
      <c r="L21" s="5"/>
      <c r="M21" s="313">
        <v>103</v>
      </c>
      <c r="N21" s="315"/>
      <c r="O21" s="11"/>
      <c r="P21" s="10" t="s">
        <v>83</v>
      </c>
    </row>
    <row r="22" spans="1:16" ht="12.75">
      <c r="A22" s="20"/>
      <c r="B22" s="22"/>
      <c r="C22" s="4"/>
      <c r="D22" s="4"/>
      <c r="E22" s="3"/>
      <c r="F22" s="29" t="s">
        <v>78</v>
      </c>
      <c r="G22" s="313">
        <v>20</v>
      </c>
      <c r="H22" s="314"/>
      <c r="I22" s="5"/>
      <c r="J22" s="313">
        <v>29</v>
      </c>
      <c r="K22" s="314"/>
      <c r="L22" s="5"/>
      <c r="M22" s="313">
        <v>28</v>
      </c>
      <c r="N22" s="315"/>
      <c r="O22" s="11"/>
      <c r="P22" s="10" t="s">
        <v>86</v>
      </c>
    </row>
    <row r="23" spans="1:14" ht="11.25">
      <c r="A23" s="20"/>
      <c r="B23" s="4" t="s">
        <v>6</v>
      </c>
      <c r="C23" s="4"/>
      <c r="D23" s="4"/>
      <c r="E23" s="3"/>
      <c r="F23" s="3"/>
      <c r="G23" s="23"/>
      <c r="H23" s="23"/>
      <c r="I23" s="5"/>
      <c r="J23" s="23"/>
      <c r="K23" s="23"/>
      <c r="L23" s="5"/>
      <c r="M23" s="23"/>
      <c r="N23" s="24"/>
    </row>
    <row r="24" spans="1:16" ht="11.25">
      <c r="A24" s="20"/>
      <c r="B24" s="22"/>
      <c r="C24" s="4"/>
      <c r="D24" s="4"/>
      <c r="E24" s="3"/>
      <c r="F24" s="29" t="s">
        <v>20</v>
      </c>
      <c r="G24" s="293">
        <v>0.452</v>
      </c>
      <c r="H24" s="294"/>
      <c r="I24" s="3"/>
      <c r="J24" s="293">
        <v>0.481</v>
      </c>
      <c r="K24" s="294"/>
      <c r="L24" s="3"/>
      <c r="M24" s="293">
        <v>0.468</v>
      </c>
      <c r="N24" s="295"/>
      <c r="P24" s="10" t="s">
        <v>30</v>
      </c>
    </row>
    <row r="25" spans="1:16" ht="11.25">
      <c r="A25" s="20"/>
      <c r="B25" s="22"/>
      <c r="C25" s="4"/>
      <c r="D25" s="4"/>
      <c r="E25" s="3"/>
      <c r="F25" s="29" t="s">
        <v>21</v>
      </c>
      <c r="G25" s="293">
        <v>0.548</v>
      </c>
      <c r="H25" s="294"/>
      <c r="I25" s="3"/>
      <c r="J25" s="293">
        <v>0.519</v>
      </c>
      <c r="K25" s="294"/>
      <c r="L25" s="3"/>
      <c r="M25" s="293">
        <v>0.532</v>
      </c>
      <c r="N25" s="295"/>
      <c r="P25" s="10" t="s">
        <v>31</v>
      </c>
    </row>
    <row r="26" spans="1:14" ht="11.25">
      <c r="A26" s="62" t="s">
        <v>60</v>
      </c>
      <c r="B26" s="22"/>
      <c r="C26" s="4"/>
      <c r="D26" s="4"/>
      <c r="E26" s="3"/>
      <c r="F26" s="29"/>
      <c r="G26" s="60"/>
      <c r="H26" s="60"/>
      <c r="I26" s="5"/>
      <c r="J26" s="60"/>
      <c r="K26" s="60"/>
      <c r="L26" s="5"/>
      <c r="M26" s="60"/>
      <c r="N26" s="61"/>
    </row>
    <row r="27" spans="1:16" ht="11.25">
      <c r="A27" s="20"/>
      <c r="B27" s="22"/>
      <c r="C27" s="4"/>
      <c r="D27" s="4"/>
      <c r="E27" s="3"/>
      <c r="F27" s="29" t="s">
        <v>61</v>
      </c>
      <c r="G27" s="313">
        <v>1389084.5299999998</v>
      </c>
      <c r="H27" s="314"/>
      <c r="I27" s="5"/>
      <c r="J27" s="313">
        <v>1232001.0899999999</v>
      </c>
      <c r="K27" s="314"/>
      <c r="L27" s="5"/>
      <c r="M27" s="313">
        <v>1248352.7599999998</v>
      </c>
      <c r="N27" s="314"/>
      <c r="P27" s="10" t="s">
        <v>91</v>
      </c>
    </row>
    <row r="28" spans="1:16" ht="11.25">
      <c r="A28" s="20"/>
      <c r="B28" s="22"/>
      <c r="C28" s="4"/>
      <c r="D28" s="4"/>
      <c r="E28" s="3"/>
      <c r="F28" s="29" t="s">
        <v>62</v>
      </c>
      <c r="G28" s="313">
        <f>39366+18529</f>
        <v>57895</v>
      </c>
      <c r="H28" s="314"/>
      <c r="I28" s="5"/>
      <c r="J28" s="313">
        <v>38308</v>
      </c>
      <c r="K28" s="314"/>
      <c r="L28" s="5"/>
      <c r="M28" s="313">
        <v>37681.79</v>
      </c>
      <c r="N28" s="314"/>
      <c r="P28" s="10" t="s">
        <v>91</v>
      </c>
    </row>
    <row r="29" spans="1:16" ht="11.25">
      <c r="A29" s="20"/>
      <c r="B29" s="22"/>
      <c r="C29" s="4"/>
      <c r="D29" s="4"/>
      <c r="E29" s="3"/>
      <c r="F29" s="29" t="s">
        <v>63</v>
      </c>
      <c r="G29" s="310">
        <v>411149.98</v>
      </c>
      <c r="H29" s="311"/>
      <c r="I29" s="5"/>
      <c r="J29" s="310">
        <v>374571.29</v>
      </c>
      <c r="K29" s="311"/>
      <c r="L29" s="5"/>
      <c r="M29" s="310">
        <v>385661.33</v>
      </c>
      <c r="N29" s="312"/>
      <c r="P29" s="10" t="s">
        <v>90</v>
      </c>
    </row>
    <row r="30" spans="1:14" ht="11.25">
      <c r="A30" s="20"/>
      <c r="B30" s="22"/>
      <c r="C30" s="4"/>
      <c r="D30" s="4"/>
      <c r="E30" s="3"/>
      <c r="F30" s="29"/>
      <c r="G30" s="73"/>
      <c r="H30" s="74"/>
      <c r="I30" s="5"/>
      <c r="J30" s="73"/>
      <c r="K30" s="74"/>
      <c r="L30" s="5"/>
      <c r="M30" s="73"/>
      <c r="N30" s="75"/>
    </row>
    <row r="31" spans="1:18" ht="11.25">
      <c r="A31" s="20"/>
      <c r="B31" s="4"/>
      <c r="C31" s="4"/>
      <c r="D31" s="4"/>
      <c r="E31" s="3"/>
      <c r="F31" s="63" t="s">
        <v>64</v>
      </c>
      <c r="G31" s="299">
        <f>SUM(G27:H29)/(G11+G18)</f>
        <v>56.541688525089</v>
      </c>
      <c r="H31" s="300"/>
      <c r="I31" s="22"/>
      <c r="J31" s="299">
        <f>SUM(J27:K29)/(J11+J18)</f>
        <v>50.21155651881925</v>
      </c>
      <c r="K31" s="300"/>
      <c r="L31" s="22"/>
      <c r="M31" s="299">
        <f>SUM(M27:N29)/(M11+M18)</f>
        <v>50.329546289327105</v>
      </c>
      <c r="N31" s="301"/>
      <c r="O31"/>
      <c r="P31" t="s">
        <v>32</v>
      </c>
      <c r="Q31"/>
      <c r="R31"/>
    </row>
    <row r="32" spans="1:14" ht="11.25">
      <c r="A32" s="21" t="s">
        <v>3</v>
      </c>
      <c r="B32" s="22"/>
      <c r="C32" s="4"/>
      <c r="D32" s="4"/>
      <c r="E32" s="3"/>
      <c r="F32" s="3"/>
      <c r="G32" s="8"/>
      <c r="H32" s="8"/>
      <c r="I32" s="3"/>
      <c r="J32" s="8"/>
      <c r="K32" s="8"/>
      <c r="L32" s="3"/>
      <c r="M32" s="8"/>
      <c r="N32" s="25"/>
    </row>
    <row r="33" spans="1:22" ht="11.25">
      <c r="A33" s="20"/>
      <c r="B33" s="22"/>
      <c r="C33" s="4"/>
      <c r="D33" s="48"/>
      <c r="E33" s="49"/>
      <c r="F33" s="50" t="s">
        <v>43</v>
      </c>
      <c r="G33" s="302">
        <v>5.9</v>
      </c>
      <c r="H33" s="303"/>
      <c r="I33" s="56"/>
      <c r="J33" s="302">
        <v>7.7</v>
      </c>
      <c r="K33" s="303"/>
      <c r="L33" s="56"/>
      <c r="M33" s="302">
        <v>5.3</v>
      </c>
      <c r="N33" s="304"/>
      <c r="O33"/>
      <c r="P33" s="46" t="s">
        <v>47</v>
      </c>
      <c r="Q33" s="47"/>
      <c r="R33" s="47"/>
      <c r="S33" s="46"/>
      <c r="T33" s="46"/>
      <c r="U33" s="46"/>
      <c r="V33" s="46"/>
    </row>
    <row r="34" spans="1:22" ht="11.25">
      <c r="A34" s="20"/>
      <c r="B34" s="22"/>
      <c r="C34" s="4"/>
      <c r="D34" s="48"/>
      <c r="E34" s="49"/>
      <c r="F34" s="50" t="s">
        <v>44</v>
      </c>
      <c r="G34" s="302">
        <v>2</v>
      </c>
      <c r="H34" s="303"/>
      <c r="I34" s="56"/>
      <c r="J34" s="302">
        <v>2</v>
      </c>
      <c r="K34" s="303"/>
      <c r="L34" s="56"/>
      <c r="M34" s="302">
        <v>2.5</v>
      </c>
      <c r="N34" s="304"/>
      <c r="O34"/>
      <c r="P34" s="46" t="s">
        <v>48</v>
      </c>
      <c r="Q34" s="47"/>
      <c r="R34" s="47"/>
      <c r="S34" s="46"/>
      <c r="T34" s="46"/>
      <c r="U34" s="46"/>
      <c r="V34" s="46"/>
    </row>
    <row r="35" spans="1:22" ht="11.25">
      <c r="A35" s="20"/>
      <c r="B35" s="22"/>
      <c r="C35" s="4"/>
      <c r="D35" s="48"/>
      <c r="E35" s="49"/>
      <c r="F35" s="50" t="s">
        <v>45</v>
      </c>
      <c r="G35" s="307">
        <v>1.9</v>
      </c>
      <c r="H35" s="308"/>
      <c r="I35" s="56"/>
      <c r="J35" s="307">
        <v>1.8</v>
      </c>
      <c r="K35" s="308"/>
      <c r="L35" s="56"/>
      <c r="M35" s="307">
        <v>1.6</v>
      </c>
      <c r="N35" s="309"/>
      <c r="O35"/>
      <c r="P35" s="46" t="s">
        <v>50</v>
      </c>
      <c r="Q35" s="47"/>
      <c r="R35" s="47"/>
      <c r="S35" s="46"/>
      <c r="T35" s="46"/>
      <c r="U35" s="46"/>
      <c r="V35" s="46"/>
    </row>
    <row r="36" spans="1:22" ht="11.25">
      <c r="A36" s="20"/>
      <c r="B36" s="22"/>
      <c r="C36" s="4"/>
      <c r="D36" s="48"/>
      <c r="E36" s="49"/>
      <c r="F36" s="50" t="s">
        <v>46</v>
      </c>
      <c r="G36" s="305"/>
      <c r="H36" s="305"/>
      <c r="I36" s="56"/>
      <c r="J36" s="305"/>
      <c r="K36" s="305"/>
      <c r="L36" s="56"/>
      <c r="M36" s="305"/>
      <c r="N36" s="306"/>
      <c r="O36"/>
      <c r="P36" s="46" t="s">
        <v>49</v>
      </c>
      <c r="Q36" s="47"/>
      <c r="R36" s="47"/>
      <c r="S36" s="46"/>
      <c r="T36" s="46"/>
      <c r="U36" s="46"/>
      <c r="V36" s="46"/>
    </row>
    <row r="37" spans="1:18" s="69" customFormat="1" ht="11.25">
      <c r="A37" s="64"/>
      <c r="B37" s="65"/>
      <c r="C37" s="66"/>
      <c r="D37" s="66"/>
      <c r="E37" s="5"/>
      <c r="F37" s="67"/>
      <c r="G37" s="70"/>
      <c r="H37" s="70"/>
      <c r="I37" s="68"/>
      <c r="J37" s="70"/>
      <c r="K37" s="70"/>
      <c r="L37" s="68"/>
      <c r="M37" s="70"/>
      <c r="N37" s="71"/>
      <c r="O37" s="12"/>
      <c r="Q37" s="12"/>
      <c r="R37" s="12"/>
    </row>
    <row r="38" spans="1:22" ht="11.25">
      <c r="A38" s="20"/>
      <c r="B38" s="22"/>
      <c r="C38" s="4"/>
      <c r="D38" s="48"/>
      <c r="E38" s="49"/>
      <c r="F38" s="50" t="s">
        <v>66</v>
      </c>
      <c r="G38" s="305">
        <f>3016+1708</f>
        <v>4724</v>
      </c>
      <c r="H38" s="305"/>
      <c r="I38" s="56"/>
      <c r="J38" s="305">
        <f>3474+2660</f>
        <v>6134</v>
      </c>
      <c r="K38" s="305"/>
      <c r="L38" s="56"/>
      <c r="M38" s="305">
        <f>3016+1708</f>
        <v>4724</v>
      </c>
      <c r="N38" s="306"/>
      <c r="O38"/>
      <c r="P38" s="46" t="s">
        <v>72</v>
      </c>
      <c r="Q38" s="47"/>
      <c r="R38" s="47"/>
      <c r="S38" s="46"/>
      <c r="T38" s="46"/>
      <c r="U38" s="46"/>
      <c r="V38" s="46"/>
    </row>
    <row r="39" spans="1:22" ht="11.25">
      <c r="A39" s="20"/>
      <c r="B39" s="22"/>
      <c r="C39" s="4"/>
      <c r="D39" s="48"/>
      <c r="E39" s="49"/>
      <c r="F39" s="50" t="s">
        <v>65</v>
      </c>
      <c r="G39" s="299">
        <v>3050</v>
      </c>
      <c r="H39" s="300"/>
      <c r="I39" s="56"/>
      <c r="J39" s="299">
        <v>2885</v>
      </c>
      <c r="K39" s="300"/>
      <c r="L39" s="56"/>
      <c r="M39" s="299">
        <v>3050</v>
      </c>
      <c r="N39" s="301"/>
      <c r="O39"/>
      <c r="P39" s="46" t="s">
        <v>73</v>
      </c>
      <c r="Q39" s="47"/>
      <c r="R39" s="47"/>
      <c r="S39" s="46"/>
      <c r="T39" s="46"/>
      <c r="U39" s="46"/>
      <c r="V39" s="46"/>
    </row>
    <row r="40" spans="1:22" ht="11.25">
      <c r="A40" s="20"/>
      <c r="B40" s="22"/>
      <c r="C40" s="4"/>
      <c r="D40" s="48"/>
      <c r="E40" s="49"/>
      <c r="F40" s="50" t="s">
        <v>67</v>
      </c>
      <c r="G40" s="302">
        <v>2520</v>
      </c>
      <c r="H40" s="303"/>
      <c r="I40" s="56"/>
      <c r="J40" s="302">
        <v>2577</v>
      </c>
      <c r="K40" s="303"/>
      <c r="L40" s="56"/>
      <c r="M40" s="302">
        <v>2520</v>
      </c>
      <c r="N40" s="304"/>
      <c r="O40"/>
      <c r="P40" s="46" t="s">
        <v>75</v>
      </c>
      <c r="Q40" s="47"/>
      <c r="R40" s="47"/>
      <c r="S40" s="46"/>
      <c r="T40" s="46"/>
      <c r="U40" s="46"/>
      <c r="V40" s="46"/>
    </row>
    <row r="41" spans="1:22" ht="11.25">
      <c r="A41" s="20"/>
      <c r="B41" s="22"/>
      <c r="C41" s="4"/>
      <c r="D41" s="48"/>
      <c r="E41" s="49"/>
      <c r="F41" s="50" t="s">
        <v>68</v>
      </c>
      <c r="G41" s="302"/>
      <c r="H41" s="303"/>
      <c r="I41" s="56"/>
      <c r="J41" s="302"/>
      <c r="K41" s="303"/>
      <c r="L41" s="56"/>
      <c r="M41" s="302"/>
      <c r="N41" s="304"/>
      <c r="O41"/>
      <c r="P41" s="46" t="s">
        <v>74</v>
      </c>
      <c r="Q41" s="47"/>
      <c r="R41" s="47"/>
      <c r="S41" s="46"/>
      <c r="T41" s="46"/>
      <c r="U41" s="46"/>
      <c r="V41" s="46"/>
    </row>
    <row r="42" spans="1:18" ht="11.25">
      <c r="A42" s="20"/>
      <c r="B42" s="4"/>
      <c r="C42" s="4"/>
      <c r="D42" s="4"/>
      <c r="E42" s="3"/>
      <c r="F42" s="3"/>
      <c r="G42" s="9"/>
      <c r="H42" s="9"/>
      <c r="I42" s="22"/>
      <c r="J42" s="9"/>
      <c r="K42" s="9"/>
      <c r="L42" s="22"/>
      <c r="M42" s="9"/>
      <c r="N42" s="26"/>
      <c r="O42"/>
      <c r="P42"/>
      <c r="Q42"/>
      <c r="R42"/>
    </row>
    <row r="43" spans="1:18" ht="11.25">
      <c r="A43" s="20"/>
      <c r="B43" s="22"/>
      <c r="C43" s="4"/>
      <c r="D43" s="4"/>
      <c r="E43" s="3"/>
      <c r="F43" s="29" t="s">
        <v>22</v>
      </c>
      <c r="G43" s="302">
        <f>+(G11+G18)/(G33+G34)</f>
        <v>4159.873417721519</v>
      </c>
      <c r="H43" s="303"/>
      <c r="I43" s="22"/>
      <c r="J43" s="302">
        <f>+(J11+J18)/(J33+J34)</f>
        <v>3377.216494845361</v>
      </c>
      <c r="K43" s="303"/>
      <c r="L43" s="22"/>
      <c r="M43" s="302">
        <f>+(M11+M18)/(M33+M34)</f>
        <v>4258.333333333333</v>
      </c>
      <c r="N43" s="303"/>
      <c r="O43"/>
      <c r="P43" t="s">
        <v>32</v>
      </c>
      <c r="Q43"/>
      <c r="R43"/>
    </row>
    <row r="44" spans="1:18" ht="11.25">
      <c r="A44" s="20"/>
      <c r="B44" s="22"/>
      <c r="C44" s="4"/>
      <c r="D44" s="4"/>
      <c r="E44" s="3"/>
      <c r="F44" s="29" t="s">
        <v>216</v>
      </c>
      <c r="G44" s="332">
        <f>(G11+G18)/SUM(G33:H36)</f>
        <v>3353.3673469387754</v>
      </c>
      <c r="H44" s="332"/>
      <c r="I44" s="22"/>
      <c r="J44" s="332">
        <f>(J11+J18)/SUM(J33:K36)</f>
        <v>2848.608695652174</v>
      </c>
      <c r="K44" s="332"/>
      <c r="L44" s="22"/>
      <c r="M44" s="332">
        <f>(M11+M18)/SUM(M33:N36)</f>
        <v>3533.510638297872</v>
      </c>
      <c r="N44" s="332"/>
      <c r="O44"/>
      <c r="P44"/>
      <c r="Q44"/>
      <c r="R44"/>
    </row>
    <row r="45" spans="1:17" ht="11.25">
      <c r="A45" s="20"/>
      <c r="B45" s="4"/>
      <c r="C45" s="4"/>
      <c r="D45" s="4"/>
      <c r="E45" s="3"/>
      <c r="F45" s="3"/>
      <c r="G45" s="34" t="s">
        <v>24</v>
      </c>
      <c r="H45" s="34" t="s">
        <v>23</v>
      </c>
      <c r="I45" s="28"/>
      <c r="J45" s="34" t="s">
        <v>24</v>
      </c>
      <c r="K45" s="34" t="s">
        <v>23</v>
      </c>
      <c r="L45" s="28"/>
      <c r="M45" s="34" t="s">
        <v>24</v>
      </c>
      <c r="N45" s="35" t="s">
        <v>23</v>
      </c>
      <c r="O45" s="14"/>
      <c r="P45" s="13"/>
      <c r="Q45" s="31"/>
    </row>
    <row r="46" spans="1:22" ht="11.25">
      <c r="A46" s="20"/>
      <c r="B46" s="4"/>
      <c r="C46" s="4"/>
      <c r="D46" s="52"/>
      <c r="E46" s="53"/>
      <c r="F46" s="54" t="s">
        <v>25</v>
      </c>
      <c r="G46" s="76">
        <v>14</v>
      </c>
      <c r="H46" s="32">
        <f>G46/SUM($G$46:$G$49)</f>
        <v>0.6947890818858561</v>
      </c>
      <c r="I46" s="28"/>
      <c r="J46" s="76">
        <v>20</v>
      </c>
      <c r="K46" s="32">
        <f>J46/SUM($J$46:$J$49)</f>
        <v>0.7952286282306164</v>
      </c>
      <c r="L46" s="28"/>
      <c r="M46" s="76">
        <v>20</v>
      </c>
      <c r="N46" s="36">
        <f>M46/SUM($M$46:$M$49)</f>
        <v>0.7952286282306164</v>
      </c>
      <c r="O46" s="14"/>
      <c r="P46" s="55" t="s">
        <v>84</v>
      </c>
      <c r="Q46" s="51"/>
      <c r="R46" s="55"/>
      <c r="S46" s="55"/>
      <c r="T46" s="55"/>
      <c r="U46" s="55"/>
      <c r="V46" s="55"/>
    </row>
    <row r="47" spans="1:22" ht="11.25">
      <c r="A47" s="20"/>
      <c r="B47" s="4"/>
      <c r="C47" s="4"/>
      <c r="D47" s="52"/>
      <c r="E47" s="53"/>
      <c r="F47" s="54" t="s">
        <v>13</v>
      </c>
      <c r="G47" s="76">
        <v>5</v>
      </c>
      <c r="H47" s="32">
        <f aca="true" t="shared" si="0" ref="H47:H49">G47/SUM($G$46:$G$49)</f>
        <v>0.24813895781637718</v>
      </c>
      <c r="I47" s="28"/>
      <c r="J47" s="76">
        <v>4</v>
      </c>
      <c r="K47" s="32">
        <f aca="true" t="shared" si="1" ref="K47:K49">J47/SUM($J$46:$J$49)</f>
        <v>0.15904572564612326</v>
      </c>
      <c r="L47" s="28"/>
      <c r="M47" s="76">
        <v>4</v>
      </c>
      <c r="N47" s="36">
        <f aca="true" t="shared" si="2" ref="N47:N49">M47/SUM($M$46:$M$49)</f>
        <v>0.15904572564612326</v>
      </c>
      <c r="O47" s="14"/>
      <c r="P47" s="55" t="s">
        <v>84</v>
      </c>
      <c r="Q47" s="51"/>
      <c r="R47" s="55"/>
      <c r="S47" s="55"/>
      <c r="T47" s="55"/>
      <c r="U47" s="55"/>
      <c r="V47" s="55"/>
    </row>
    <row r="48" spans="1:22" ht="11.25">
      <c r="A48" s="20"/>
      <c r="B48" s="4"/>
      <c r="C48" s="4"/>
      <c r="D48" s="52"/>
      <c r="E48" s="53"/>
      <c r="F48" s="54" t="s">
        <v>51</v>
      </c>
      <c r="G48" s="76"/>
      <c r="H48" s="32">
        <f t="shared" si="0"/>
        <v>0</v>
      </c>
      <c r="I48" s="28"/>
      <c r="J48" s="76"/>
      <c r="K48" s="32">
        <f t="shared" si="1"/>
        <v>0</v>
      </c>
      <c r="L48" s="28"/>
      <c r="M48" s="76"/>
      <c r="N48" s="36">
        <f t="shared" si="2"/>
        <v>0</v>
      </c>
      <c r="O48" s="14"/>
      <c r="P48" s="55" t="s">
        <v>85</v>
      </c>
      <c r="Q48" s="51"/>
      <c r="R48" s="55"/>
      <c r="S48" s="55"/>
      <c r="T48" s="55"/>
      <c r="U48" s="55"/>
      <c r="V48" s="55"/>
    </row>
    <row r="49" spans="1:22" ht="11.25">
      <c r="A49" s="20"/>
      <c r="B49" s="4"/>
      <c r="C49" s="4"/>
      <c r="D49" s="52"/>
      <c r="E49" s="53"/>
      <c r="F49" s="54" t="s">
        <v>52</v>
      </c>
      <c r="G49" s="76">
        <v>1.15</v>
      </c>
      <c r="H49" s="32">
        <f t="shared" si="0"/>
        <v>0.05707196029776675</v>
      </c>
      <c r="I49" s="28"/>
      <c r="J49" s="76">
        <v>1.15</v>
      </c>
      <c r="K49" s="32">
        <f t="shared" si="1"/>
        <v>0.04572564612326044</v>
      </c>
      <c r="L49" s="28"/>
      <c r="M49" s="76">
        <v>1.15</v>
      </c>
      <c r="N49" s="36">
        <f t="shared" si="2"/>
        <v>0.04572564612326044</v>
      </c>
      <c r="O49" s="14"/>
      <c r="P49" s="55" t="s">
        <v>85</v>
      </c>
      <c r="Q49" s="51"/>
      <c r="R49" s="55"/>
      <c r="S49" s="55"/>
      <c r="T49" s="55"/>
      <c r="U49" s="55"/>
      <c r="V49" s="55"/>
    </row>
    <row r="50" spans="1:14" ht="11.25">
      <c r="A50" s="21" t="s">
        <v>4</v>
      </c>
      <c r="B50" s="22"/>
      <c r="C50" s="4"/>
      <c r="D50" s="4"/>
      <c r="E50" s="3"/>
      <c r="F50" s="3"/>
      <c r="G50" s="8"/>
      <c r="H50" s="8"/>
      <c r="I50" s="3"/>
      <c r="J50" s="8"/>
      <c r="K50" s="8"/>
      <c r="L50" s="3"/>
      <c r="M50" s="8"/>
      <c r="N50" s="25"/>
    </row>
    <row r="51" spans="1:16" ht="11.25">
      <c r="A51" s="21"/>
      <c r="B51" s="22"/>
      <c r="C51" s="4"/>
      <c r="D51" s="4"/>
      <c r="E51" s="3"/>
      <c r="F51" s="63" t="s">
        <v>77</v>
      </c>
      <c r="G51" s="293">
        <v>0.923</v>
      </c>
      <c r="H51" s="294"/>
      <c r="I51" s="72"/>
      <c r="J51" s="293">
        <v>0.908</v>
      </c>
      <c r="K51" s="294"/>
      <c r="L51" s="72"/>
      <c r="M51" s="293">
        <v>0.903</v>
      </c>
      <c r="N51" s="295"/>
      <c r="P51" s="10" t="s">
        <v>87</v>
      </c>
    </row>
    <row r="52" spans="1:16" ht="11.25">
      <c r="A52" s="21"/>
      <c r="B52" s="22"/>
      <c r="C52" s="4"/>
      <c r="D52" s="4"/>
      <c r="E52" s="3"/>
      <c r="F52" s="63" t="s">
        <v>76</v>
      </c>
      <c r="G52" s="293">
        <v>0.22</v>
      </c>
      <c r="H52" s="294"/>
      <c r="I52" s="72"/>
      <c r="J52" s="293">
        <v>0.185</v>
      </c>
      <c r="K52" s="294"/>
      <c r="L52" s="72"/>
      <c r="M52" s="293">
        <v>0.182</v>
      </c>
      <c r="N52" s="295"/>
      <c r="P52" s="10" t="s">
        <v>79</v>
      </c>
    </row>
    <row r="53" spans="1:16" ht="11" customHeight="1">
      <c r="A53" s="20"/>
      <c r="B53" s="23"/>
      <c r="C53" s="4"/>
      <c r="D53" s="4"/>
      <c r="E53" s="3"/>
      <c r="F53" s="29" t="s">
        <v>10</v>
      </c>
      <c r="G53" s="296">
        <v>20</v>
      </c>
      <c r="H53" s="297"/>
      <c r="I53" s="3"/>
      <c r="J53" s="296">
        <v>27</v>
      </c>
      <c r="K53" s="297"/>
      <c r="L53" s="3"/>
      <c r="M53" s="296">
        <v>27</v>
      </c>
      <c r="N53" s="298"/>
      <c r="P53" s="10" t="s">
        <v>34</v>
      </c>
    </row>
    <row r="54" spans="1:16" ht="11.25">
      <c r="A54" s="20"/>
      <c r="B54" s="23"/>
      <c r="C54" s="4"/>
      <c r="D54" s="4"/>
      <c r="E54" s="3"/>
      <c r="F54" s="29" t="s">
        <v>8</v>
      </c>
      <c r="G54" s="296">
        <v>30</v>
      </c>
      <c r="H54" s="297"/>
      <c r="I54" s="14"/>
      <c r="J54" s="296">
        <v>32</v>
      </c>
      <c r="K54" s="297"/>
      <c r="L54" s="14"/>
      <c r="M54" s="296">
        <v>28</v>
      </c>
      <c r="N54" s="298"/>
      <c r="P54" s="10" t="s">
        <v>36</v>
      </c>
    </row>
    <row r="55" spans="1:16" ht="11.25">
      <c r="A55" s="20"/>
      <c r="B55" s="23"/>
      <c r="C55" s="4"/>
      <c r="D55" s="4"/>
      <c r="E55" s="3"/>
      <c r="F55" s="42" t="s">
        <v>11</v>
      </c>
      <c r="G55" s="296">
        <v>11.2</v>
      </c>
      <c r="H55" s="297"/>
      <c r="I55" s="3"/>
      <c r="J55" s="296">
        <v>11.8</v>
      </c>
      <c r="K55" s="297"/>
      <c r="L55" s="3"/>
      <c r="M55" s="296">
        <v>11.6</v>
      </c>
      <c r="N55" s="298"/>
      <c r="P55" s="10" t="s">
        <v>42</v>
      </c>
    </row>
    <row r="56" spans="1:19" ht="11.25">
      <c r="A56" s="20"/>
      <c r="B56" s="22"/>
      <c r="C56" s="4"/>
      <c r="D56" s="4"/>
      <c r="E56" s="3"/>
      <c r="F56" s="29" t="s">
        <v>9</v>
      </c>
      <c r="G56" s="293">
        <v>0.89</v>
      </c>
      <c r="H56" s="294"/>
      <c r="I56" s="3"/>
      <c r="J56" s="293">
        <v>0.91</v>
      </c>
      <c r="K56" s="294"/>
      <c r="L56" s="3"/>
      <c r="M56" s="293">
        <v>0.85</v>
      </c>
      <c r="N56" s="295"/>
      <c r="P56" s="10" t="s">
        <v>37</v>
      </c>
      <c r="Q56"/>
      <c r="R56"/>
      <c r="S56"/>
    </row>
    <row r="57" spans="1:19" ht="11.25">
      <c r="A57" s="20"/>
      <c r="B57" s="22"/>
      <c r="C57" s="4"/>
      <c r="D57" s="4"/>
      <c r="E57" s="27"/>
      <c r="F57" s="29" t="s">
        <v>12</v>
      </c>
      <c r="G57" s="296">
        <v>3</v>
      </c>
      <c r="H57" s="297"/>
      <c r="I57" s="28"/>
      <c r="J57" s="296">
        <v>4</v>
      </c>
      <c r="K57" s="297"/>
      <c r="L57" s="28"/>
      <c r="M57" s="296">
        <v>7</v>
      </c>
      <c r="N57" s="298"/>
      <c r="P57" s="10" t="s">
        <v>38</v>
      </c>
      <c r="Q57"/>
      <c r="R57"/>
      <c r="S57"/>
    </row>
    <row r="58" spans="1:19" ht="11.25">
      <c r="A58" s="20"/>
      <c r="B58" s="22"/>
      <c r="C58" s="4"/>
      <c r="D58" s="4"/>
      <c r="E58" s="3"/>
      <c r="F58" s="29" t="s">
        <v>19</v>
      </c>
      <c r="G58" s="293">
        <v>0.153</v>
      </c>
      <c r="H58" s="294"/>
      <c r="I58" s="28"/>
      <c r="J58" s="293">
        <v>0.103</v>
      </c>
      <c r="K58" s="294"/>
      <c r="L58" s="28"/>
      <c r="M58" s="293">
        <v>0.104</v>
      </c>
      <c r="N58" s="295"/>
      <c r="P58" s="10" t="s">
        <v>39</v>
      </c>
      <c r="Q58"/>
      <c r="R58"/>
      <c r="S58"/>
    </row>
    <row r="59" spans="1:19" ht="11.25">
      <c r="A59" s="20"/>
      <c r="B59" s="22"/>
      <c r="C59" s="4"/>
      <c r="D59" s="4"/>
      <c r="E59" s="3"/>
      <c r="F59" s="29" t="s">
        <v>0</v>
      </c>
      <c r="G59" s="293">
        <v>-0.061</v>
      </c>
      <c r="H59" s="294"/>
      <c r="I59" s="28"/>
      <c r="J59" s="293">
        <v>0.04</v>
      </c>
      <c r="K59" s="294"/>
      <c r="L59" s="28"/>
      <c r="M59" s="293">
        <v>-0.026</v>
      </c>
      <c r="N59" s="295"/>
      <c r="P59" s="10" t="s">
        <v>40</v>
      </c>
      <c r="Q59"/>
      <c r="R59"/>
      <c r="S59"/>
    </row>
    <row r="60" spans="1:14" ht="11.25">
      <c r="A60" s="21" t="s">
        <v>1</v>
      </c>
      <c r="B60" s="28"/>
      <c r="C60" s="28"/>
      <c r="D60" s="28"/>
      <c r="E60" s="28"/>
      <c r="F60" s="28"/>
      <c r="G60" s="28"/>
      <c r="H60" s="28"/>
      <c r="I60" s="28"/>
      <c r="J60" s="28"/>
      <c r="K60" s="28"/>
      <c r="L60" s="28"/>
      <c r="M60" s="28"/>
      <c r="N60" s="33"/>
    </row>
    <row r="61" spans="1:16" ht="11.25">
      <c r="A61" s="37"/>
      <c r="B61" s="28"/>
      <c r="C61" s="28"/>
      <c r="D61" s="28"/>
      <c r="E61" s="28"/>
      <c r="F61" s="28"/>
      <c r="G61" s="28"/>
      <c r="H61" s="28"/>
      <c r="I61" s="28"/>
      <c r="J61" s="28"/>
      <c r="K61" s="28"/>
      <c r="L61" s="28"/>
      <c r="M61" s="28"/>
      <c r="N61" s="33"/>
      <c r="P61" t="s">
        <v>35</v>
      </c>
    </row>
    <row r="62" spans="1:14" ht="11.25">
      <c r="A62" s="38"/>
      <c r="B62" s="23"/>
      <c r="C62" s="23"/>
      <c r="D62" s="23"/>
      <c r="E62" s="23"/>
      <c r="F62" s="23"/>
      <c r="G62" s="23"/>
      <c r="H62" s="23"/>
      <c r="I62" s="23"/>
      <c r="J62" s="23"/>
      <c r="K62" s="23"/>
      <c r="L62" s="23"/>
      <c r="M62" s="23"/>
      <c r="N62" s="24"/>
    </row>
    <row r="63" spans="1:14" ht="11.25">
      <c r="A63" s="38"/>
      <c r="B63" s="23"/>
      <c r="C63" s="23"/>
      <c r="D63" s="23"/>
      <c r="E63" s="23"/>
      <c r="F63" s="23"/>
      <c r="G63" s="23"/>
      <c r="H63" s="23"/>
      <c r="I63" s="23"/>
      <c r="J63" s="23"/>
      <c r="K63" s="23"/>
      <c r="L63" s="23"/>
      <c r="M63" s="23"/>
      <c r="N63" s="24"/>
    </row>
    <row r="64" spans="1:16" ht="11.25">
      <c r="A64" s="38"/>
      <c r="B64" s="23"/>
      <c r="C64" s="23"/>
      <c r="D64" s="23"/>
      <c r="E64" s="23"/>
      <c r="F64" s="23"/>
      <c r="G64" s="23"/>
      <c r="H64" s="23"/>
      <c r="I64" s="23"/>
      <c r="J64" s="23"/>
      <c r="K64" s="23"/>
      <c r="L64" s="23"/>
      <c r="M64" s="23"/>
      <c r="N64" s="24"/>
      <c r="P64" s="44" t="s">
        <v>41</v>
      </c>
    </row>
    <row r="65" spans="1:14" ht="11.25">
      <c r="A65" s="38"/>
      <c r="B65" s="23"/>
      <c r="C65" s="23"/>
      <c r="D65" s="23"/>
      <c r="E65" s="23"/>
      <c r="F65" s="23"/>
      <c r="G65" s="23"/>
      <c r="H65" s="23"/>
      <c r="I65" s="23"/>
      <c r="J65" s="23"/>
      <c r="K65" s="23"/>
      <c r="L65" s="23"/>
      <c r="M65" s="23"/>
      <c r="N65" s="24"/>
    </row>
    <row r="66" spans="1:14" ht="12.75" thickBot="1">
      <c r="A66" s="39"/>
      <c r="B66" s="40"/>
      <c r="C66" s="40"/>
      <c r="D66" s="40"/>
      <c r="E66" s="40"/>
      <c r="F66" s="40"/>
      <c r="G66" s="40"/>
      <c r="H66" s="40"/>
      <c r="I66" s="40"/>
      <c r="J66" s="40"/>
      <c r="K66" s="40"/>
      <c r="L66" s="40"/>
      <c r="M66" s="40"/>
      <c r="N66" s="41"/>
    </row>
  </sheetData>
  <mergeCells count="122">
    <mergeCell ref="G5:H5"/>
    <mergeCell ref="G6:H6"/>
    <mergeCell ref="G7:H7"/>
    <mergeCell ref="G8:H8"/>
    <mergeCell ref="G9:H9"/>
    <mergeCell ref="J9:K9"/>
    <mergeCell ref="G2:N2"/>
    <mergeCell ref="G3:H3"/>
    <mergeCell ref="J3:K3"/>
    <mergeCell ref="M3:N3"/>
    <mergeCell ref="G4:H4"/>
    <mergeCell ref="J4:K4"/>
    <mergeCell ref="M4:N4"/>
    <mergeCell ref="G13:H13"/>
    <mergeCell ref="J13:K13"/>
    <mergeCell ref="M13:N13"/>
    <mergeCell ref="G14:H14"/>
    <mergeCell ref="J14:K14"/>
    <mergeCell ref="M14:N14"/>
    <mergeCell ref="M9:N9"/>
    <mergeCell ref="G11:H11"/>
    <mergeCell ref="J11:K11"/>
    <mergeCell ref="M11:N11"/>
    <mergeCell ref="G12:H12"/>
    <mergeCell ref="J12:K12"/>
    <mergeCell ref="M12:N12"/>
    <mergeCell ref="G18:H18"/>
    <mergeCell ref="J18:K18"/>
    <mergeCell ref="M18:N18"/>
    <mergeCell ref="G19:H19"/>
    <mergeCell ref="J19:K19"/>
    <mergeCell ref="M19:N19"/>
    <mergeCell ref="G15:H15"/>
    <mergeCell ref="J15:K15"/>
    <mergeCell ref="M15:N15"/>
    <mergeCell ref="G16:H16"/>
    <mergeCell ref="J16:K16"/>
    <mergeCell ref="M16:N16"/>
    <mergeCell ref="G22:H22"/>
    <mergeCell ref="J22:K22"/>
    <mergeCell ref="M22:N22"/>
    <mergeCell ref="G24:H24"/>
    <mergeCell ref="J24:K24"/>
    <mergeCell ref="M24:N24"/>
    <mergeCell ref="G20:H20"/>
    <mergeCell ref="J20:K20"/>
    <mergeCell ref="M20:N20"/>
    <mergeCell ref="G21:H21"/>
    <mergeCell ref="J21:K21"/>
    <mergeCell ref="M21:N21"/>
    <mergeCell ref="G28:H28"/>
    <mergeCell ref="J28:K28"/>
    <mergeCell ref="M28:N28"/>
    <mergeCell ref="G29:H29"/>
    <mergeCell ref="J29:K29"/>
    <mergeCell ref="M29:N29"/>
    <mergeCell ref="G25:H25"/>
    <mergeCell ref="J25:K25"/>
    <mergeCell ref="M25:N25"/>
    <mergeCell ref="G27:H27"/>
    <mergeCell ref="J27:K27"/>
    <mergeCell ref="M27:N27"/>
    <mergeCell ref="G34:H34"/>
    <mergeCell ref="J34:K34"/>
    <mergeCell ref="M34:N34"/>
    <mergeCell ref="G35:H35"/>
    <mergeCell ref="J35:K35"/>
    <mergeCell ref="M35:N35"/>
    <mergeCell ref="G31:H31"/>
    <mergeCell ref="J31:K31"/>
    <mergeCell ref="M31:N31"/>
    <mergeCell ref="G33:H33"/>
    <mergeCell ref="J33:K33"/>
    <mergeCell ref="M33:N33"/>
    <mergeCell ref="G39:H39"/>
    <mergeCell ref="J39:K39"/>
    <mergeCell ref="M39:N39"/>
    <mergeCell ref="G40:H40"/>
    <mergeCell ref="J40:K40"/>
    <mergeCell ref="M40:N40"/>
    <mergeCell ref="G36:H36"/>
    <mergeCell ref="J36:K36"/>
    <mergeCell ref="M36:N36"/>
    <mergeCell ref="G38:H38"/>
    <mergeCell ref="J38:K38"/>
    <mergeCell ref="M38:N38"/>
    <mergeCell ref="G51:H51"/>
    <mergeCell ref="J51:K51"/>
    <mergeCell ref="M51:N51"/>
    <mergeCell ref="G52:H52"/>
    <mergeCell ref="J52:K52"/>
    <mergeCell ref="M52:N52"/>
    <mergeCell ref="G41:H41"/>
    <mergeCell ref="J41:K41"/>
    <mergeCell ref="M41:N41"/>
    <mergeCell ref="G43:H43"/>
    <mergeCell ref="J43:K43"/>
    <mergeCell ref="M43:N43"/>
    <mergeCell ref="G59:H59"/>
    <mergeCell ref="J59:K59"/>
    <mergeCell ref="M59:N59"/>
    <mergeCell ref="G44:H44"/>
    <mergeCell ref="J44:K44"/>
    <mergeCell ref="M44:N44"/>
    <mergeCell ref="G57:H57"/>
    <mergeCell ref="J57:K57"/>
    <mergeCell ref="M57:N57"/>
    <mergeCell ref="G58:H58"/>
    <mergeCell ref="J58:K58"/>
    <mergeCell ref="M58:N58"/>
    <mergeCell ref="G55:H55"/>
    <mergeCell ref="J55:K55"/>
    <mergeCell ref="M55:N55"/>
    <mergeCell ref="G56:H56"/>
    <mergeCell ref="J56:K56"/>
    <mergeCell ref="M56:N56"/>
    <mergeCell ref="G53:H53"/>
    <mergeCell ref="J53:K53"/>
    <mergeCell ref="M53:N53"/>
    <mergeCell ref="G54:H54"/>
    <mergeCell ref="J54:K54"/>
    <mergeCell ref="M54:N54"/>
  </mergeCells>
  <printOptions/>
  <pageMargins left="0.25" right="0.25" top="0.75" bottom="0.75" header="0.3" footer="0.3"/>
  <pageSetup fitToHeight="1" fitToWidth="1" horizontalDpi="1200" verticalDpi="1200" orientation="portrait" scale="94" r:id="rId3"/>
  <colBreaks count="1" manualBreakCount="1">
    <brk id="14" max="16383" man="1"/>
  </colBreaks>
  <legacyDrawing r:id="rId2"/>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V66"/>
  <sheetViews>
    <sheetView showGridLines="0" workbookViewId="0" topLeftCell="A16">
      <selection activeCell="M43" sqref="M43:N43"/>
    </sheetView>
  </sheetViews>
  <sheetFormatPr defaultColWidth="9.00390625" defaultRowHeight="11.25"/>
  <cols>
    <col min="1" max="1" width="4.625" style="1" customWidth="1"/>
    <col min="2" max="5" width="9.00390625" style="1" customWidth="1"/>
    <col min="6" max="6" width="7.125" style="1" customWidth="1"/>
    <col min="7" max="8" width="9.125" style="1" customWidth="1"/>
    <col min="9" max="9" width="1.75390625" style="1" customWidth="1"/>
    <col min="10" max="11" width="9.125" style="1" customWidth="1"/>
    <col min="12" max="12" width="1.75390625" style="1" customWidth="1"/>
    <col min="13" max="14" width="9.125" style="1" customWidth="1"/>
    <col min="15" max="15" width="3.75390625" style="10" customWidth="1"/>
    <col min="16" max="16384" width="9.00390625" style="10" customWidth="1"/>
  </cols>
  <sheetData>
    <row r="1" spans="1:14" s="12" customFormat="1" ht="11.25">
      <c r="A1" s="17" t="s">
        <v>88</v>
      </c>
      <c r="B1" s="18"/>
      <c r="C1" s="18"/>
      <c r="D1" s="18"/>
      <c r="E1" s="18"/>
      <c r="F1" s="18"/>
      <c r="G1" s="18"/>
      <c r="H1" s="18"/>
      <c r="I1" s="18"/>
      <c r="J1" s="18"/>
      <c r="K1" s="18"/>
      <c r="L1" s="18"/>
      <c r="M1" s="18"/>
      <c r="N1" s="19"/>
    </row>
    <row r="2" spans="1:16" s="12" customFormat="1" ht="11.25">
      <c r="A2" s="20" t="s">
        <v>89</v>
      </c>
      <c r="B2" s="15"/>
      <c r="C2" s="15"/>
      <c r="D2" s="15"/>
      <c r="E2" s="15"/>
      <c r="F2" s="15"/>
      <c r="G2" s="328" t="s">
        <v>26</v>
      </c>
      <c r="H2" s="328"/>
      <c r="I2" s="328"/>
      <c r="J2" s="328"/>
      <c r="K2" s="328"/>
      <c r="L2" s="328"/>
      <c r="M2" s="328"/>
      <c r="N2" s="329"/>
      <c r="P2" s="43" t="s">
        <v>27</v>
      </c>
    </row>
    <row r="3" spans="1:14" ht="11.25">
      <c r="A3" s="45"/>
      <c r="B3" s="2"/>
      <c r="C3" s="2"/>
      <c r="D3" s="2"/>
      <c r="E3" s="2"/>
      <c r="F3" s="16" t="s">
        <v>14</v>
      </c>
      <c r="G3" s="330">
        <v>19</v>
      </c>
      <c r="H3" s="327"/>
      <c r="I3" s="2"/>
      <c r="J3" s="330">
        <v>18</v>
      </c>
      <c r="K3" s="327"/>
      <c r="L3" s="2"/>
      <c r="M3" s="330">
        <v>17</v>
      </c>
      <c r="N3" s="331"/>
    </row>
    <row r="4" spans="1:14" ht="11.25">
      <c r="A4" s="20"/>
      <c r="B4" s="2"/>
      <c r="C4" s="2"/>
      <c r="D4" s="2"/>
      <c r="E4" s="2"/>
      <c r="F4" s="16" t="s">
        <v>15</v>
      </c>
      <c r="G4" s="330" t="s">
        <v>80</v>
      </c>
      <c r="H4" s="327"/>
      <c r="I4" s="2"/>
      <c r="J4" s="330" t="s">
        <v>81</v>
      </c>
      <c r="K4" s="327"/>
      <c r="L4" s="2"/>
      <c r="M4" s="330" t="s">
        <v>82</v>
      </c>
      <c r="N4" s="331"/>
    </row>
    <row r="5" spans="1:14" ht="11.25">
      <c r="A5" s="20"/>
      <c r="B5" s="2"/>
      <c r="C5" s="2"/>
      <c r="D5" s="2"/>
      <c r="E5" s="2"/>
      <c r="F5" s="16" t="s">
        <v>16</v>
      </c>
      <c r="G5" s="321" t="s">
        <v>95</v>
      </c>
      <c r="H5" s="322"/>
      <c r="I5" s="2"/>
      <c r="J5" s="28"/>
      <c r="K5" s="28"/>
      <c r="L5" s="28"/>
      <c r="M5" s="28"/>
      <c r="N5" s="33"/>
    </row>
    <row r="6" spans="1:14" ht="11.25">
      <c r="A6" s="20"/>
      <c r="B6" s="2"/>
      <c r="C6" s="2"/>
      <c r="D6" s="2"/>
      <c r="E6" s="2"/>
      <c r="F6" s="16" t="s">
        <v>17</v>
      </c>
      <c r="G6" s="323" t="s">
        <v>171</v>
      </c>
      <c r="H6" s="323"/>
      <c r="I6" s="2"/>
      <c r="J6" s="28"/>
      <c r="K6" s="28"/>
      <c r="L6" s="28"/>
      <c r="M6" s="28"/>
      <c r="N6" s="33"/>
    </row>
    <row r="7" spans="1:14" ht="11.25">
      <c r="A7" s="20"/>
      <c r="B7" s="2"/>
      <c r="C7" s="2"/>
      <c r="D7" s="2"/>
      <c r="E7" s="2"/>
      <c r="F7" s="16" t="s">
        <v>33</v>
      </c>
      <c r="G7" s="324" t="s">
        <v>149</v>
      </c>
      <c r="H7" s="325"/>
      <c r="I7" s="2"/>
      <c r="J7" s="28"/>
      <c r="K7" s="28"/>
      <c r="L7" s="28"/>
      <c r="M7" s="28"/>
      <c r="N7" s="33"/>
    </row>
    <row r="8" spans="1:14" ht="11.25">
      <c r="A8" s="20"/>
      <c r="B8" s="2"/>
      <c r="C8" s="2"/>
      <c r="D8" s="2"/>
      <c r="E8" s="2"/>
      <c r="F8" s="16" t="s">
        <v>18</v>
      </c>
      <c r="G8" s="326">
        <v>43924</v>
      </c>
      <c r="H8" s="327"/>
      <c r="I8" s="2"/>
      <c r="J8" s="28"/>
      <c r="K8" s="28"/>
      <c r="L8" s="28"/>
      <c r="M8" s="28"/>
      <c r="N8" s="33"/>
    </row>
    <row r="9" spans="1:14" ht="12.75">
      <c r="A9" s="21" t="s">
        <v>2</v>
      </c>
      <c r="B9" s="22"/>
      <c r="C9" s="4"/>
      <c r="D9" s="4"/>
      <c r="E9" s="3"/>
      <c r="F9" s="3"/>
      <c r="G9" s="319"/>
      <c r="H9" s="319"/>
      <c r="I9" s="3"/>
      <c r="J9" s="319"/>
      <c r="K9" s="319"/>
      <c r="L9" s="3"/>
      <c r="M9" s="319"/>
      <c r="N9" s="320"/>
    </row>
    <row r="10" spans="1:15" ht="12.75">
      <c r="A10" s="20"/>
      <c r="B10" s="22" t="s">
        <v>56</v>
      </c>
      <c r="C10" s="4"/>
      <c r="D10" s="4"/>
      <c r="E10" s="3"/>
      <c r="F10" s="29"/>
      <c r="G10" s="58"/>
      <c r="H10" s="58"/>
      <c r="I10" s="5"/>
      <c r="J10" s="58"/>
      <c r="K10" s="58"/>
      <c r="L10" s="5"/>
      <c r="M10" s="58"/>
      <c r="N10" s="59"/>
      <c r="O10" s="11"/>
    </row>
    <row r="11" spans="1:16" ht="11.25">
      <c r="A11" s="20"/>
      <c r="B11" s="22"/>
      <c r="C11" s="6"/>
      <c r="D11" s="6"/>
      <c r="E11" s="7"/>
      <c r="F11" s="30" t="s">
        <v>7</v>
      </c>
      <c r="G11" s="313">
        <v>7107</v>
      </c>
      <c r="H11" s="314"/>
      <c r="I11" s="5"/>
      <c r="J11" s="313">
        <v>8551</v>
      </c>
      <c r="K11" s="314"/>
      <c r="L11" s="5"/>
      <c r="M11" s="313">
        <v>8936</v>
      </c>
      <c r="N11" s="315"/>
      <c r="P11" s="10" t="s">
        <v>28</v>
      </c>
    </row>
    <row r="12" spans="1:16" ht="12.75">
      <c r="A12" s="20"/>
      <c r="B12" s="22"/>
      <c r="C12" s="4"/>
      <c r="D12" s="4"/>
      <c r="E12" s="3"/>
      <c r="F12" s="29" t="s">
        <v>5</v>
      </c>
      <c r="G12" s="316">
        <v>-0.169</v>
      </c>
      <c r="H12" s="317"/>
      <c r="I12" s="5"/>
      <c r="J12" s="316">
        <v>-0.043</v>
      </c>
      <c r="K12" s="317"/>
      <c r="L12" s="5"/>
      <c r="M12" s="316">
        <v>0.034</v>
      </c>
      <c r="N12" s="318"/>
      <c r="O12" s="11"/>
      <c r="P12" s="10" t="s">
        <v>29</v>
      </c>
    </row>
    <row r="13" spans="1:16" ht="12.75">
      <c r="A13" s="20"/>
      <c r="B13" s="22"/>
      <c r="C13" s="4"/>
      <c r="D13" s="4"/>
      <c r="E13" s="3"/>
      <c r="F13" s="29" t="s">
        <v>53</v>
      </c>
      <c r="G13" s="313">
        <v>1</v>
      </c>
      <c r="H13" s="314"/>
      <c r="I13" s="5"/>
      <c r="J13" s="313">
        <v>1</v>
      </c>
      <c r="K13" s="314"/>
      <c r="L13" s="5"/>
      <c r="M13" s="313">
        <v>1</v>
      </c>
      <c r="N13" s="315"/>
      <c r="O13" s="11"/>
      <c r="P13" s="10" t="s">
        <v>71</v>
      </c>
    </row>
    <row r="14" spans="1:16" ht="12.75">
      <c r="A14" s="20"/>
      <c r="B14" s="22"/>
      <c r="C14" s="4"/>
      <c r="D14" s="4"/>
      <c r="E14" s="3"/>
      <c r="F14" s="29" t="s">
        <v>54</v>
      </c>
      <c r="G14" s="313">
        <v>61</v>
      </c>
      <c r="H14" s="314"/>
      <c r="I14" s="5"/>
      <c r="J14" s="313">
        <v>60</v>
      </c>
      <c r="K14" s="314"/>
      <c r="L14" s="5"/>
      <c r="M14" s="313">
        <v>48</v>
      </c>
      <c r="N14" s="315"/>
      <c r="O14" s="11"/>
      <c r="P14" s="10" t="s">
        <v>70</v>
      </c>
    </row>
    <row r="15" spans="1:16" ht="12.75">
      <c r="A15" s="20"/>
      <c r="B15" s="22"/>
      <c r="C15" s="4"/>
      <c r="D15" s="4"/>
      <c r="E15" s="3"/>
      <c r="F15" s="29" t="s">
        <v>55</v>
      </c>
      <c r="G15" s="313">
        <v>24</v>
      </c>
      <c r="H15" s="314"/>
      <c r="I15" s="5"/>
      <c r="J15" s="313">
        <v>30</v>
      </c>
      <c r="K15" s="314"/>
      <c r="L15" s="5"/>
      <c r="M15" s="313">
        <v>40</v>
      </c>
      <c r="N15" s="315"/>
      <c r="O15" s="11"/>
      <c r="P15" s="10" t="s">
        <v>69</v>
      </c>
    </row>
    <row r="16" spans="1:16" ht="12.75">
      <c r="A16" s="20"/>
      <c r="B16" s="22"/>
      <c r="C16" s="4"/>
      <c r="D16" s="4"/>
      <c r="E16" s="3"/>
      <c r="F16" s="29" t="s">
        <v>78</v>
      </c>
      <c r="G16" s="313">
        <v>26</v>
      </c>
      <c r="H16" s="314"/>
      <c r="I16" s="5"/>
      <c r="J16" s="313">
        <v>30</v>
      </c>
      <c r="K16" s="314"/>
      <c r="L16" s="5"/>
      <c r="M16" s="313">
        <v>18</v>
      </c>
      <c r="N16" s="315"/>
      <c r="O16" s="11"/>
      <c r="P16" s="10" t="s">
        <v>86</v>
      </c>
    </row>
    <row r="17" spans="1:15" ht="12.75">
      <c r="A17" s="20"/>
      <c r="B17" s="22" t="s">
        <v>57</v>
      </c>
      <c r="C17" s="4"/>
      <c r="D17" s="4"/>
      <c r="E17" s="3"/>
      <c r="F17" s="29"/>
      <c r="G17" s="58"/>
      <c r="H17" s="58"/>
      <c r="I17" s="5"/>
      <c r="J17" s="58"/>
      <c r="K17" s="58"/>
      <c r="L17" s="5"/>
      <c r="M17" s="58"/>
      <c r="N17" s="59"/>
      <c r="O17" s="11"/>
    </row>
    <row r="18" spans="1:16" ht="11.25">
      <c r="A18" s="20"/>
      <c r="B18" s="22"/>
      <c r="C18" s="6"/>
      <c r="D18" s="6"/>
      <c r="E18" s="7"/>
      <c r="F18" s="30" t="s">
        <v>7</v>
      </c>
      <c r="G18" s="313"/>
      <c r="H18" s="314"/>
      <c r="I18" s="5"/>
      <c r="J18" s="313"/>
      <c r="K18" s="314"/>
      <c r="L18" s="5"/>
      <c r="M18" s="313"/>
      <c r="N18" s="314"/>
      <c r="P18" s="10" t="s">
        <v>28</v>
      </c>
    </row>
    <row r="19" spans="1:16" ht="12.75">
      <c r="A19" s="20"/>
      <c r="B19" s="22"/>
      <c r="C19" s="4"/>
      <c r="D19" s="4"/>
      <c r="E19" s="3"/>
      <c r="F19" s="29" t="s">
        <v>5</v>
      </c>
      <c r="G19" s="313"/>
      <c r="H19" s="314"/>
      <c r="I19" s="5"/>
      <c r="J19" s="313"/>
      <c r="K19" s="314"/>
      <c r="L19" s="5"/>
      <c r="M19" s="313"/>
      <c r="N19" s="314"/>
      <c r="O19" s="11"/>
      <c r="P19" s="10" t="s">
        <v>29</v>
      </c>
    </row>
    <row r="20" spans="1:16" ht="12.75">
      <c r="A20" s="20"/>
      <c r="B20" s="22"/>
      <c r="C20" s="4"/>
      <c r="D20" s="4"/>
      <c r="E20" s="3"/>
      <c r="F20" s="29" t="s">
        <v>58</v>
      </c>
      <c r="G20" s="313"/>
      <c r="H20" s="314"/>
      <c r="I20" s="5"/>
      <c r="J20" s="313"/>
      <c r="K20" s="314"/>
      <c r="L20" s="5"/>
      <c r="M20" s="313"/>
      <c r="N20" s="314"/>
      <c r="O20" s="11"/>
      <c r="P20" s="10" t="s">
        <v>71</v>
      </c>
    </row>
    <row r="21" spans="1:16" ht="12.75">
      <c r="A21" s="20"/>
      <c r="B21" s="22"/>
      <c r="C21" s="4"/>
      <c r="D21" s="4"/>
      <c r="E21" s="3"/>
      <c r="F21" s="29" t="s">
        <v>59</v>
      </c>
      <c r="G21" s="313"/>
      <c r="H21" s="314"/>
      <c r="I21" s="5"/>
      <c r="J21" s="313"/>
      <c r="K21" s="314"/>
      <c r="L21" s="5"/>
      <c r="M21" s="313"/>
      <c r="N21" s="314"/>
      <c r="O21" s="11"/>
      <c r="P21" s="10" t="s">
        <v>83</v>
      </c>
    </row>
    <row r="22" spans="1:16" ht="12.75">
      <c r="A22" s="20"/>
      <c r="B22" s="22"/>
      <c r="C22" s="4"/>
      <c r="D22" s="4"/>
      <c r="E22" s="3"/>
      <c r="F22" s="29" t="s">
        <v>78</v>
      </c>
      <c r="G22" s="313"/>
      <c r="H22" s="314"/>
      <c r="I22" s="5"/>
      <c r="J22" s="313"/>
      <c r="K22" s="314"/>
      <c r="L22" s="5"/>
      <c r="M22" s="313"/>
      <c r="N22" s="314"/>
      <c r="O22" s="11"/>
      <c r="P22" s="10" t="s">
        <v>86</v>
      </c>
    </row>
    <row r="23" spans="1:14" ht="11.25">
      <c r="A23" s="20"/>
      <c r="B23" s="4" t="s">
        <v>6</v>
      </c>
      <c r="C23" s="4"/>
      <c r="D23" s="4"/>
      <c r="E23" s="3"/>
      <c r="F23" s="3"/>
      <c r="G23" s="23"/>
      <c r="H23" s="23"/>
      <c r="I23" s="5"/>
      <c r="J23" s="23"/>
      <c r="K23" s="23"/>
      <c r="L23" s="5"/>
      <c r="M23" s="23"/>
      <c r="N23" s="24"/>
    </row>
    <row r="24" spans="1:16" ht="11.25">
      <c r="A24" s="20"/>
      <c r="B24" s="22"/>
      <c r="C24" s="4"/>
      <c r="D24" s="4"/>
      <c r="E24" s="3"/>
      <c r="F24" s="29" t="s">
        <v>20</v>
      </c>
      <c r="G24" s="293">
        <v>0.349</v>
      </c>
      <c r="H24" s="294"/>
      <c r="I24" s="3"/>
      <c r="J24" s="293">
        <v>0.369</v>
      </c>
      <c r="K24" s="294"/>
      <c r="L24" s="3"/>
      <c r="M24" s="293">
        <v>0.305</v>
      </c>
      <c r="N24" s="295"/>
      <c r="P24" s="10" t="s">
        <v>30</v>
      </c>
    </row>
    <row r="25" spans="1:16" ht="11.25">
      <c r="A25" s="20"/>
      <c r="B25" s="22"/>
      <c r="C25" s="4"/>
      <c r="D25" s="4"/>
      <c r="E25" s="3"/>
      <c r="F25" s="29" t="s">
        <v>21</v>
      </c>
      <c r="G25" s="293">
        <v>0.651</v>
      </c>
      <c r="H25" s="294"/>
      <c r="I25" s="3"/>
      <c r="J25" s="293">
        <v>0.631</v>
      </c>
      <c r="K25" s="294"/>
      <c r="L25" s="3"/>
      <c r="M25" s="293">
        <v>0.895</v>
      </c>
      <c r="N25" s="295"/>
      <c r="P25" s="10" t="s">
        <v>31</v>
      </c>
    </row>
    <row r="26" spans="1:14" ht="11.25">
      <c r="A26" s="62" t="s">
        <v>60</v>
      </c>
      <c r="B26" s="22"/>
      <c r="C26" s="4"/>
      <c r="D26" s="4"/>
      <c r="E26" s="3"/>
      <c r="F26" s="29"/>
      <c r="G26" s="60"/>
      <c r="H26" s="60"/>
      <c r="I26" s="5"/>
      <c r="J26" s="60"/>
      <c r="K26" s="60"/>
      <c r="L26" s="5"/>
      <c r="M26" s="60"/>
      <c r="N26" s="61"/>
    </row>
    <row r="27" spans="1:16" ht="11.25">
      <c r="A27" s="20"/>
      <c r="B27" s="22"/>
      <c r="C27" s="4"/>
      <c r="D27" s="4"/>
      <c r="E27" s="3"/>
      <c r="F27" s="29" t="s">
        <v>61</v>
      </c>
      <c r="G27" s="313">
        <f>391580.41+10500</f>
        <v>402080.41</v>
      </c>
      <c r="H27" s="314"/>
      <c r="I27" s="5"/>
      <c r="J27" s="313">
        <f>9750+416789.56</f>
        <v>426539.56</v>
      </c>
      <c r="K27" s="314"/>
      <c r="L27" s="5"/>
      <c r="M27" s="313">
        <f>478504.08+9749.98+3250</f>
        <v>491504.06</v>
      </c>
      <c r="N27" s="315"/>
      <c r="P27" s="10" t="s">
        <v>91</v>
      </c>
    </row>
    <row r="28" spans="1:16" ht="11.25">
      <c r="A28" s="20"/>
      <c r="B28" s="22"/>
      <c r="C28" s="4"/>
      <c r="D28" s="4"/>
      <c r="E28" s="3"/>
      <c r="F28" s="29" t="s">
        <v>62</v>
      </c>
      <c r="G28" s="313">
        <v>34410.48</v>
      </c>
      <c r="H28" s="314"/>
      <c r="I28" s="5"/>
      <c r="J28" s="313">
        <v>39304</v>
      </c>
      <c r="K28" s="314"/>
      <c r="L28" s="5"/>
      <c r="M28" s="313">
        <v>38436</v>
      </c>
      <c r="N28" s="315"/>
      <c r="P28" s="10" t="s">
        <v>91</v>
      </c>
    </row>
    <row r="29" spans="1:16" ht="11.25">
      <c r="A29" s="20"/>
      <c r="B29" s="22"/>
      <c r="C29" s="4"/>
      <c r="D29" s="4"/>
      <c r="E29" s="3"/>
      <c r="F29" s="29" t="s">
        <v>63</v>
      </c>
      <c r="G29" s="310">
        <v>140038</v>
      </c>
      <c r="H29" s="311"/>
      <c r="I29" s="5"/>
      <c r="J29" s="310">
        <v>153668.91</v>
      </c>
      <c r="K29" s="311"/>
      <c r="L29" s="5"/>
      <c r="M29" s="310">
        <v>161416.55</v>
      </c>
      <c r="N29" s="312"/>
      <c r="P29" s="10" t="s">
        <v>90</v>
      </c>
    </row>
    <row r="30" spans="1:14" ht="11.25">
      <c r="A30" s="20"/>
      <c r="B30" s="22"/>
      <c r="C30" s="4"/>
      <c r="D30" s="4"/>
      <c r="E30" s="3"/>
      <c r="F30" s="29"/>
      <c r="G30" s="73"/>
      <c r="H30" s="74"/>
      <c r="I30" s="5"/>
      <c r="J30" s="73"/>
      <c r="K30" s="74"/>
      <c r="L30" s="5"/>
      <c r="M30" s="73"/>
      <c r="N30" s="75"/>
    </row>
    <row r="31" spans="1:18" ht="11.25">
      <c r="A31" s="20"/>
      <c r="B31" s="4"/>
      <c r="C31" s="4"/>
      <c r="D31" s="4"/>
      <c r="E31" s="3"/>
      <c r="F31" s="63" t="s">
        <v>64</v>
      </c>
      <c r="G31" s="299">
        <f>SUM(G27:H29)/(G11+G18)</f>
        <v>81.12127339242998</v>
      </c>
      <c r="H31" s="300"/>
      <c r="I31" s="22"/>
      <c r="J31" s="299">
        <f>SUM(J27:K29)/(J11+J18)</f>
        <v>72.44912524850895</v>
      </c>
      <c r="K31" s="300"/>
      <c r="L31" s="22"/>
      <c r="M31" s="299">
        <f>SUM(M27:N29)/(M11+M18)</f>
        <v>77.3675705013429</v>
      </c>
      <c r="N31" s="301"/>
      <c r="O31"/>
      <c r="P31" t="s">
        <v>32</v>
      </c>
      <c r="Q31"/>
      <c r="R31"/>
    </row>
    <row r="32" spans="1:14" ht="11.25">
      <c r="A32" s="21" t="s">
        <v>3</v>
      </c>
      <c r="B32" s="22"/>
      <c r="C32" s="4"/>
      <c r="D32" s="4"/>
      <c r="E32" s="3"/>
      <c r="F32" s="3"/>
      <c r="G32" s="8"/>
      <c r="H32" s="8"/>
      <c r="I32" s="3"/>
      <c r="J32" s="8"/>
      <c r="K32" s="8"/>
      <c r="L32" s="3"/>
      <c r="M32" s="8"/>
      <c r="N32" s="25"/>
    </row>
    <row r="33" spans="1:22" ht="11.25">
      <c r="A33" s="20"/>
      <c r="B33" s="22"/>
      <c r="C33" s="4"/>
      <c r="D33" s="48"/>
      <c r="E33" s="49"/>
      <c r="F33" s="50" t="s">
        <v>43</v>
      </c>
      <c r="G33" s="302">
        <v>3.9</v>
      </c>
      <c r="H33" s="303"/>
      <c r="I33" s="56"/>
      <c r="J33" s="302">
        <v>3.4</v>
      </c>
      <c r="K33" s="303"/>
      <c r="L33" s="56"/>
      <c r="M33" s="302">
        <v>3.9</v>
      </c>
      <c r="N33" s="304"/>
      <c r="O33"/>
      <c r="P33" s="46" t="s">
        <v>47</v>
      </c>
      <c r="Q33" s="47"/>
      <c r="R33" s="47"/>
      <c r="S33" s="46"/>
      <c r="T33" s="46"/>
      <c r="U33" s="46"/>
      <c r="V33" s="46"/>
    </row>
    <row r="34" spans="1:22" ht="11.25">
      <c r="A34" s="20"/>
      <c r="B34" s="22"/>
      <c r="C34" s="4"/>
      <c r="D34" s="48"/>
      <c r="E34" s="49"/>
      <c r="F34" s="50" t="s">
        <v>44</v>
      </c>
      <c r="G34" s="302">
        <v>1</v>
      </c>
      <c r="H34" s="303"/>
      <c r="I34" s="56"/>
      <c r="J34" s="302">
        <v>1</v>
      </c>
      <c r="K34" s="303"/>
      <c r="L34" s="56"/>
      <c r="M34" s="302">
        <v>1</v>
      </c>
      <c r="N34" s="304"/>
      <c r="O34"/>
      <c r="P34" s="46" t="s">
        <v>48</v>
      </c>
      <c r="Q34" s="47"/>
      <c r="R34" s="47"/>
      <c r="S34" s="46"/>
      <c r="T34" s="46"/>
      <c r="U34" s="46"/>
      <c r="V34" s="46"/>
    </row>
    <row r="35" spans="1:22" ht="11.25">
      <c r="A35" s="20"/>
      <c r="B35" s="22"/>
      <c r="C35" s="4"/>
      <c r="D35" s="48"/>
      <c r="E35" s="49"/>
      <c r="F35" s="50" t="s">
        <v>45</v>
      </c>
      <c r="G35" s="307">
        <f>0.6/36*45</f>
        <v>0.75</v>
      </c>
      <c r="H35" s="308"/>
      <c r="I35" s="56"/>
      <c r="J35" s="307">
        <f>1/36*45</f>
        <v>1.25</v>
      </c>
      <c r="K35" s="308"/>
      <c r="L35" s="56"/>
      <c r="M35" s="307">
        <f>1.3/36*45</f>
        <v>1.6250000000000002</v>
      </c>
      <c r="N35" s="309"/>
      <c r="O35"/>
      <c r="P35" s="46" t="s">
        <v>50</v>
      </c>
      <c r="Q35" s="47"/>
      <c r="R35" s="47"/>
      <c r="S35" s="46"/>
      <c r="T35" s="46"/>
      <c r="U35" s="46"/>
      <c r="V35" s="46"/>
    </row>
    <row r="36" spans="1:22" ht="11.25">
      <c r="A36" s="20"/>
      <c r="B36" s="22"/>
      <c r="C36" s="4"/>
      <c r="D36" s="48"/>
      <c r="E36" s="49"/>
      <c r="F36" s="50" t="s">
        <v>46</v>
      </c>
      <c r="G36" s="305">
        <v>0</v>
      </c>
      <c r="H36" s="305"/>
      <c r="I36" s="56"/>
      <c r="J36" s="305">
        <v>0</v>
      </c>
      <c r="K36" s="305"/>
      <c r="L36" s="56"/>
      <c r="M36" s="305">
        <v>0</v>
      </c>
      <c r="N36" s="306"/>
      <c r="O36"/>
      <c r="P36" s="46" t="s">
        <v>49</v>
      </c>
      <c r="Q36" s="47"/>
      <c r="R36" s="47"/>
      <c r="S36" s="46"/>
      <c r="T36" s="46"/>
      <c r="U36" s="46"/>
      <c r="V36" s="46"/>
    </row>
    <row r="37" spans="1:18" s="69" customFormat="1" ht="11.25">
      <c r="A37" s="64"/>
      <c r="B37" s="65"/>
      <c r="C37" s="66"/>
      <c r="D37" s="66"/>
      <c r="E37" s="5"/>
      <c r="F37" s="67"/>
      <c r="G37" s="70"/>
      <c r="H37" s="70"/>
      <c r="I37" s="68"/>
      <c r="J37" s="70"/>
      <c r="K37" s="70"/>
      <c r="L37" s="68"/>
      <c r="M37" s="70"/>
      <c r="N37" s="71"/>
      <c r="O37" s="12"/>
      <c r="Q37" s="12"/>
      <c r="R37" s="12"/>
    </row>
    <row r="38" spans="1:22" ht="11.25">
      <c r="A38" s="20"/>
      <c r="B38" s="22"/>
      <c r="C38" s="4"/>
      <c r="D38" s="48"/>
      <c r="E38" s="49"/>
      <c r="F38" s="50" t="s">
        <v>66</v>
      </c>
      <c r="G38" s="305">
        <f>3380+260</f>
        <v>3640</v>
      </c>
      <c r="H38" s="305"/>
      <c r="I38" s="56"/>
      <c r="J38" s="305">
        <v>4126</v>
      </c>
      <c r="K38" s="305"/>
      <c r="L38" s="56"/>
      <c r="M38" s="305">
        <v>4375</v>
      </c>
      <c r="N38" s="306"/>
      <c r="O38"/>
      <c r="P38" s="46" t="s">
        <v>72</v>
      </c>
      <c r="Q38" s="47"/>
      <c r="R38" s="47"/>
      <c r="S38" s="46"/>
      <c r="T38" s="46"/>
      <c r="U38" s="46"/>
      <c r="V38" s="46"/>
    </row>
    <row r="39" spans="1:22" ht="11.25">
      <c r="A39" s="20"/>
      <c r="B39" s="22"/>
      <c r="C39" s="4"/>
      <c r="D39" s="48"/>
      <c r="E39" s="49"/>
      <c r="F39" s="50" t="s">
        <v>65</v>
      </c>
      <c r="G39" s="299">
        <v>2680</v>
      </c>
      <c r="H39" s="300"/>
      <c r="I39" s="56"/>
      <c r="J39" s="299">
        <v>2730</v>
      </c>
      <c r="K39" s="300"/>
      <c r="L39" s="56"/>
      <c r="M39" s="299">
        <v>2590</v>
      </c>
      <c r="N39" s="301"/>
      <c r="O39"/>
      <c r="P39" s="46" t="s">
        <v>73</v>
      </c>
      <c r="Q39" s="47"/>
      <c r="R39" s="47"/>
      <c r="S39" s="46"/>
      <c r="T39" s="46"/>
      <c r="U39" s="46"/>
      <c r="V39" s="46"/>
    </row>
    <row r="40" spans="1:22" ht="11.25">
      <c r="A40" s="20"/>
      <c r="B40" s="22"/>
      <c r="C40" s="4"/>
      <c r="D40" s="48"/>
      <c r="E40" s="49"/>
      <c r="F40" s="50" t="s">
        <v>67</v>
      </c>
      <c r="G40" s="302">
        <v>710</v>
      </c>
      <c r="H40" s="303"/>
      <c r="I40" s="56"/>
      <c r="J40" s="302">
        <v>1610</v>
      </c>
      <c r="K40" s="303"/>
      <c r="L40" s="56"/>
      <c r="M40" s="302">
        <v>1590</v>
      </c>
      <c r="N40" s="304"/>
      <c r="O40"/>
      <c r="P40" s="46" t="s">
        <v>75</v>
      </c>
      <c r="Q40" s="47"/>
      <c r="R40" s="47"/>
      <c r="S40" s="46"/>
      <c r="T40" s="46"/>
      <c r="U40" s="46"/>
      <c r="V40" s="46"/>
    </row>
    <row r="41" spans="1:22" ht="11.25">
      <c r="A41" s="20"/>
      <c r="B41" s="22"/>
      <c r="C41" s="4"/>
      <c r="D41" s="48"/>
      <c r="E41" s="49"/>
      <c r="F41" s="50" t="s">
        <v>68</v>
      </c>
      <c r="G41" s="302">
        <v>0</v>
      </c>
      <c r="H41" s="303"/>
      <c r="I41" s="56"/>
      <c r="J41" s="302">
        <v>0</v>
      </c>
      <c r="K41" s="303"/>
      <c r="L41" s="56"/>
      <c r="M41" s="302">
        <v>0</v>
      </c>
      <c r="N41" s="304"/>
      <c r="O41"/>
      <c r="P41" s="46" t="s">
        <v>74</v>
      </c>
      <c r="Q41" s="47"/>
      <c r="R41" s="47"/>
      <c r="S41" s="46"/>
      <c r="T41" s="46"/>
      <c r="U41" s="46"/>
      <c r="V41" s="46"/>
    </row>
    <row r="42" spans="1:18" ht="11.25">
      <c r="A42" s="20"/>
      <c r="B42" s="4"/>
      <c r="C42" s="4"/>
      <c r="D42" s="4"/>
      <c r="E42" s="3"/>
      <c r="F42" s="3"/>
      <c r="G42" s="9"/>
      <c r="H42" s="9"/>
      <c r="I42" s="22"/>
      <c r="J42" s="9"/>
      <c r="K42" s="9"/>
      <c r="L42" s="22"/>
      <c r="M42" s="9"/>
      <c r="N42" s="26"/>
      <c r="O42"/>
      <c r="P42"/>
      <c r="Q42"/>
      <c r="R42"/>
    </row>
    <row r="43" spans="1:18" ht="11.25">
      <c r="A43" s="20"/>
      <c r="B43" s="22"/>
      <c r="C43" s="4"/>
      <c r="D43" s="4"/>
      <c r="E43" s="3"/>
      <c r="F43" s="29" t="s">
        <v>22</v>
      </c>
      <c r="G43" s="302">
        <f>+(G11+G18)/(G33+G34)</f>
        <v>1450.408163265306</v>
      </c>
      <c r="H43" s="303"/>
      <c r="I43" s="22"/>
      <c r="J43" s="302">
        <f>+(J11+J18)/(J33+J34)</f>
        <v>1943.4090909090908</v>
      </c>
      <c r="K43" s="303"/>
      <c r="L43" s="22"/>
      <c r="M43" s="302">
        <f>+(M11+M18)/(M33+M34)</f>
        <v>1823.673469387755</v>
      </c>
      <c r="N43" s="303"/>
      <c r="O43"/>
      <c r="P43" t="s">
        <v>32</v>
      </c>
      <c r="Q43"/>
      <c r="R43"/>
    </row>
    <row r="44" spans="1:18" ht="11.25">
      <c r="A44" s="20"/>
      <c r="B44" s="22"/>
      <c r="C44" s="4"/>
      <c r="D44" s="4"/>
      <c r="E44" s="3"/>
      <c r="F44" s="29" t="s">
        <v>216</v>
      </c>
      <c r="G44" s="332">
        <f>(G11+G18)/SUM(G33:H36)</f>
        <v>1257.8761061946902</v>
      </c>
      <c r="H44" s="332"/>
      <c r="I44" s="22"/>
      <c r="J44" s="332">
        <f>(J11+J18)/SUM(J33:K36)</f>
        <v>1513.4513274336282</v>
      </c>
      <c r="K44" s="332"/>
      <c r="L44" s="22"/>
      <c r="M44" s="332">
        <f>(M11+M18)/SUM(M33:N36)</f>
        <v>1369.5019157088122</v>
      </c>
      <c r="N44" s="332"/>
      <c r="O44"/>
      <c r="P44"/>
      <c r="Q44"/>
      <c r="R44"/>
    </row>
    <row r="45" spans="1:17" ht="11.25">
      <c r="A45" s="20"/>
      <c r="B45" s="4"/>
      <c r="C45" s="4"/>
      <c r="D45" s="4"/>
      <c r="E45" s="3"/>
      <c r="F45" s="3"/>
      <c r="G45" s="34" t="s">
        <v>24</v>
      </c>
      <c r="H45" s="34" t="s">
        <v>23</v>
      </c>
      <c r="I45" s="28"/>
      <c r="J45" s="34" t="s">
        <v>24</v>
      </c>
      <c r="K45" s="34" t="s">
        <v>23</v>
      </c>
      <c r="L45" s="28"/>
      <c r="M45" s="34" t="s">
        <v>24</v>
      </c>
      <c r="N45" s="35" t="s">
        <v>23</v>
      </c>
      <c r="O45" s="14"/>
      <c r="P45" s="13"/>
      <c r="Q45" s="31"/>
    </row>
    <row r="46" spans="1:22" ht="11.25">
      <c r="A46" s="20"/>
      <c r="B46" s="4"/>
      <c r="C46" s="4"/>
      <c r="D46" s="52"/>
      <c r="E46" s="53"/>
      <c r="F46" s="54" t="s">
        <v>25</v>
      </c>
      <c r="G46" s="76">
        <v>5</v>
      </c>
      <c r="H46" s="32">
        <f>G46/SUM($G$46:$G$49)</f>
        <v>0.8333333333333334</v>
      </c>
      <c r="I46" s="28"/>
      <c r="J46" s="76">
        <v>5</v>
      </c>
      <c r="K46" s="32">
        <f>J46/SUM($J$46:$J$49)</f>
        <v>0.8333333333333334</v>
      </c>
      <c r="L46" s="28"/>
      <c r="M46" s="76">
        <v>5</v>
      </c>
      <c r="N46" s="36">
        <f>M46/SUM($M$46:$M$49)</f>
        <v>0.8333333333333334</v>
      </c>
      <c r="O46" s="14"/>
      <c r="P46" s="55" t="s">
        <v>84</v>
      </c>
      <c r="Q46" s="51"/>
      <c r="R46" s="55"/>
      <c r="S46" s="55"/>
      <c r="T46" s="55"/>
      <c r="U46" s="55"/>
      <c r="V46" s="55"/>
    </row>
    <row r="47" spans="1:22" ht="11.25">
      <c r="A47" s="20"/>
      <c r="B47" s="4"/>
      <c r="C47" s="4"/>
      <c r="D47" s="52"/>
      <c r="E47" s="53"/>
      <c r="F47" s="54" t="s">
        <v>13</v>
      </c>
      <c r="G47" s="76">
        <v>1</v>
      </c>
      <c r="H47" s="32">
        <f aca="true" t="shared" si="0" ref="H47:H49">G47/SUM($G$46:$G$49)</f>
        <v>0.16666666666666666</v>
      </c>
      <c r="I47" s="28"/>
      <c r="J47" s="76">
        <v>1</v>
      </c>
      <c r="K47" s="32">
        <f aca="true" t="shared" si="1" ref="K47:K49">J47/SUM($J$46:$J$49)</f>
        <v>0.16666666666666666</v>
      </c>
      <c r="L47" s="28"/>
      <c r="M47" s="76">
        <v>1</v>
      </c>
      <c r="N47" s="36">
        <f aca="true" t="shared" si="2" ref="N47:N49">M47/SUM($M$46:$M$49)</f>
        <v>0.16666666666666666</v>
      </c>
      <c r="O47" s="14"/>
      <c r="P47" s="55" t="s">
        <v>84</v>
      </c>
      <c r="Q47" s="51"/>
      <c r="R47" s="55"/>
      <c r="S47" s="55"/>
      <c r="T47" s="55"/>
      <c r="U47" s="55"/>
      <c r="V47" s="55"/>
    </row>
    <row r="48" spans="1:22" ht="11.25">
      <c r="A48" s="20"/>
      <c r="B48" s="4"/>
      <c r="C48" s="4"/>
      <c r="D48" s="52"/>
      <c r="E48" s="53"/>
      <c r="F48" s="54" t="s">
        <v>51</v>
      </c>
      <c r="G48" s="76"/>
      <c r="H48" s="32">
        <f t="shared" si="0"/>
        <v>0</v>
      </c>
      <c r="I48" s="28"/>
      <c r="J48" s="76"/>
      <c r="K48" s="32">
        <f t="shared" si="1"/>
        <v>0</v>
      </c>
      <c r="L48" s="28"/>
      <c r="M48" s="76"/>
      <c r="N48" s="36">
        <f t="shared" si="2"/>
        <v>0</v>
      </c>
      <c r="O48" s="14"/>
      <c r="P48" s="55" t="s">
        <v>85</v>
      </c>
      <c r="Q48" s="51"/>
      <c r="R48" s="55"/>
      <c r="S48" s="55"/>
      <c r="T48" s="55"/>
      <c r="U48" s="55"/>
      <c r="V48" s="55"/>
    </row>
    <row r="49" spans="1:22" ht="11.25">
      <c r="A49" s="20"/>
      <c r="B49" s="4"/>
      <c r="C49" s="4"/>
      <c r="D49" s="52"/>
      <c r="E49" s="53"/>
      <c r="F49" s="54" t="s">
        <v>52</v>
      </c>
      <c r="G49" s="76"/>
      <c r="H49" s="32">
        <f t="shared" si="0"/>
        <v>0</v>
      </c>
      <c r="I49" s="28"/>
      <c r="J49" s="76"/>
      <c r="K49" s="32">
        <f t="shared" si="1"/>
        <v>0</v>
      </c>
      <c r="L49" s="28"/>
      <c r="M49" s="76"/>
      <c r="N49" s="36">
        <f t="shared" si="2"/>
        <v>0</v>
      </c>
      <c r="O49" s="14"/>
      <c r="P49" s="55" t="s">
        <v>85</v>
      </c>
      <c r="Q49" s="51"/>
      <c r="R49" s="55"/>
      <c r="S49" s="55"/>
      <c r="T49" s="55"/>
      <c r="U49" s="55"/>
      <c r="V49" s="55"/>
    </row>
    <row r="50" spans="1:14" ht="11.25">
      <c r="A50" s="21" t="s">
        <v>4</v>
      </c>
      <c r="B50" s="22"/>
      <c r="C50" s="4"/>
      <c r="D50" s="4"/>
      <c r="E50" s="3"/>
      <c r="F50" s="3"/>
      <c r="G50" s="8"/>
      <c r="H50" s="8"/>
      <c r="I50" s="3"/>
      <c r="J50" s="8"/>
      <c r="K50" s="8"/>
      <c r="L50" s="3"/>
      <c r="M50" s="8"/>
      <c r="N50" s="25"/>
    </row>
    <row r="51" spans="1:16" ht="11.25">
      <c r="A51" s="21"/>
      <c r="B51" s="22"/>
      <c r="C51" s="4"/>
      <c r="D51" s="4"/>
      <c r="E51" s="3"/>
      <c r="F51" s="63" t="s">
        <v>77</v>
      </c>
      <c r="G51" s="293">
        <v>0.939</v>
      </c>
      <c r="H51" s="294"/>
      <c r="I51" s="72"/>
      <c r="J51" s="293">
        <v>0.924</v>
      </c>
      <c r="K51" s="294"/>
      <c r="L51" s="72"/>
      <c r="M51" s="293">
        <v>0.91</v>
      </c>
      <c r="N51" s="295"/>
      <c r="P51" s="10" t="s">
        <v>87</v>
      </c>
    </row>
    <row r="52" spans="1:16" ht="11.25">
      <c r="A52" s="21"/>
      <c r="B52" s="22"/>
      <c r="C52" s="4"/>
      <c r="D52" s="4"/>
      <c r="E52" s="3"/>
      <c r="F52" s="63" t="s">
        <v>76</v>
      </c>
      <c r="G52" s="293">
        <v>0.097</v>
      </c>
      <c r="H52" s="294"/>
      <c r="I52" s="72"/>
      <c r="J52" s="293">
        <v>0.099</v>
      </c>
      <c r="K52" s="294"/>
      <c r="L52" s="72"/>
      <c r="M52" s="293">
        <v>0.12</v>
      </c>
      <c r="N52" s="295"/>
      <c r="P52" s="10" t="s">
        <v>79</v>
      </c>
    </row>
    <row r="53" spans="1:16" ht="11" customHeight="1">
      <c r="A53" s="20"/>
      <c r="B53" s="23"/>
      <c r="C53" s="4"/>
      <c r="D53" s="4"/>
      <c r="E53" s="3"/>
      <c r="F53" s="29" t="s">
        <v>10</v>
      </c>
      <c r="G53" s="296">
        <v>14</v>
      </c>
      <c r="H53" s="297"/>
      <c r="I53" s="3"/>
      <c r="J53" s="296">
        <v>18</v>
      </c>
      <c r="K53" s="297"/>
      <c r="L53" s="3"/>
      <c r="M53" s="296">
        <v>13</v>
      </c>
      <c r="N53" s="298"/>
      <c r="P53" s="10" t="s">
        <v>34</v>
      </c>
    </row>
    <row r="54" spans="1:16" ht="11.25">
      <c r="A54" s="20"/>
      <c r="B54" s="23"/>
      <c r="C54" s="4"/>
      <c r="D54" s="4"/>
      <c r="E54" s="3"/>
      <c r="F54" s="29" t="s">
        <v>8</v>
      </c>
      <c r="G54" s="296">
        <v>51</v>
      </c>
      <c r="H54" s="297"/>
      <c r="I54" s="14"/>
      <c r="J54" s="296">
        <v>42</v>
      </c>
      <c r="K54" s="297"/>
      <c r="L54" s="14"/>
      <c r="M54" s="296">
        <v>37</v>
      </c>
      <c r="N54" s="298"/>
      <c r="P54" s="10" t="s">
        <v>36</v>
      </c>
    </row>
    <row r="55" spans="1:16" ht="11.25">
      <c r="A55" s="20"/>
      <c r="B55" s="23"/>
      <c r="C55" s="4"/>
      <c r="D55" s="4"/>
      <c r="E55" s="3"/>
      <c r="F55" s="42" t="s">
        <v>11</v>
      </c>
      <c r="G55" s="296">
        <v>25</v>
      </c>
      <c r="H55" s="297"/>
      <c r="I55" s="3"/>
      <c r="J55" s="296">
        <v>25.3</v>
      </c>
      <c r="K55" s="297"/>
      <c r="L55" s="3"/>
      <c r="M55" s="296">
        <v>24.4</v>
      </c>
      <c r="N55" s="298"/>
      <c r="P55" s="10" t="s">
        <v>42</v>
      </c>
    </row>
    <row r="56" spans="1:19" ht="11.25">
      <c r="A56" s="20"/>
      <c r="B56" s="22"/>
      <c r="C56" s="4"/>
      <c r="D56" s="4"/>
      <c r="E56" s="3"/>
      <c r="F56" s="29" t="s">
        <v>9</v>
      </c>
      <c r="G56" s="293">
        <v>1.02</v>
      </c>
      <c r="H56" s="294"/>
      <c r="I56" s="3"/>
      <c r="J56" s="293">
        <v>1</v>
      </c>
      <c r="K56" s="294"/>
      <c r="L56" s="3"/>
      <c r="M56" s="293">
        <v>1</v>
      </c>
      <c r="N56" s="295"/>
      <c r="P56" s="10" t="s">
        <v>37</v>
      </c>
      <c r="Q56"/>
      <c r="R56"/>
      <c r="S56"/>
    </row>
    <row r="57" spans="1:19" ht="11.25">
      <c r="A57" s="20"/>
      <c r="B57" s="22"/>
      <c r="C57" s="4"/>
      <c r="D57" s="4"/>
      <c r="E57" s="27"/>
      <c r="F57" s="29" t="s">
        <v>12</v>
      </c>
      <c r="G57" s="296">
        <v>0</v>
      </c>
      <c r="H57" s="297"/>
      <c r="I57" s="28"/>
      <c r="J57" s="296">
        <v>0</v>
      </c>
      <c r="K57" s="297"/>
      <c r="L57" s="28"/>
      <c r="M57" s="296">
        <v>0</v>
      </c>
      <c r="N57" s="298"/>
      <c r="P57" s="10" t="s">
        <v>38</v>
      </c>
      <c r="Q57"/>
      <c r="R57"/>
      <c r="S57"/>
    </row>
    <row r="58" spans="1:19" ht="11.25">
      <c r="A58" s="20"/>
      <c r="B58" s="22"/>
      <c r="C58" s="4"/>
      <c r="D58" s="4"/>
      <c r="E58" s="3"/>
      <c r="F58" s="29" t="s">
        <v>19</v>
      </c>
      <c r="G58" s="293">
        <v>0</v>
      </c>
      <c r="H58" s="294"/>
      <c r="I58" s="28"/>
      <c r="J58" s="293">
        <v>0.023</v>
      </c>
      <c r="K58" s="294"/>
      <c r="L58" s="28"/>
      <c r="M58" s="293">
        <v>0.019</v>
      </c>
      <c r="N58" s="295"/>
      <c r="P58" s="10" t="s">
        <v>39</v>
      </c>
      <c r="Q58"/>
      <c r="R58"/>
      <c r="S58"/>
    </row>
    <row r="59" spans="1:19" ht="11.25">
      <c r="A59" s="20"/>
      <c r="B59" s="22"/>
      <c r="C59" s="4"/>
      <c r="D59" s="4"/>
      <c r="E59" s="3"/>
      <c r="F59" s="29" t="s">
        <v>0</v>
      </c>
      <c r="G59" s="293">
        <v>-0.115</v>
      </c>
      <c r="H59" s="294"/>
      <c r="I59" s="28"/>
      <c r="J59" s="293">
        <v>-0.039</v>
      </c>
      <c r="K59" s="294"/>
      <c r="L59" s="28"/>
      <c r="M59" s="293">
        <v>0.022</v>
      </c>
      <c r="N59" s="295"/>
      <c r="P59" s="10" t="s">
        <v>40</v>
      </c>
      <c r="Q59"/>
      <c r="R59"/>
      <c r="S59"/>
    </row>
    <row r="60" spans="1:14" ht="11.25">
      <c r="A60" s="21" t="s">
        <v>1</v>
      </c>
      <c r="B60" s="28"/>
      <c r="C60" s="28"/>
      <c r="D60" s="28"/>
      <c r="E60" s="28"/>
      <c r="F60" s="28"/>
      <c r="G60" s="28"/>
      <c r="H60" s="28"/>
      <c r="I60" s="28"/>
      <c r="J60" s="28"/>
      <c r="K60" s="28"/>
      <c r="L60" s="28"/>
      <c r="M60" s="28"/>
      <c r="N60" s="33"/>
    </row>
    <row r="61" spans="1:16" ht="11.25">
      <c r="A61" s="37" t="s">
        <v>172</v>
      </c>
      <c r="B61" s="28"/>
      <c r="C61" s="28"/>
      <c r="D61" s="28"/>
      <c r="E61" s="28"/>
      <c r="F61" s="28"/>
      <c r="G61" s="28"/>
      <c r="H61" s="28"/>
      <c r="I61" s="28"/>
      <c r="J61" s="28"/>
      <c r="K61" s="28"/>
      <c r="L61" s="28"/>
      <c r="M61" s="28"/>
      <c r="N61" s="33"/>
      <c r="P61" t="s">
        <v>35</v>
      </c>
    </row>
    <row r="62" spans="1:14" ht="11.25">
      <c r="A62" s="38" t="s">
        <v>173</v>
      </c>
      <c r="B62" s="23"/>
      <c r="C62" s="23"/>
      <c r="D62" s="23"/>
      <c r="E62" s="23"/>
      <c r="F62" s="23"/>
      <c r="G62" s="23"/>
      <c r="H62" s="23"/>
      <c r="I62" s="23"/>
      <c r="J62" s="23"/>
      <c r="K62" s="23"/>
      <c r="L62" s="23"/>
      <c r="M62" s="23"/>
      <c r="N62" s="24"/>
    </row>
    <row r="63" spans="1:14" ht="11.25">
      <c r="A63" s="38"/>
      <c r="B63" s="23"/>
      <c r="C63" s="23"/>
      <c r="D63" s="23"/>
      <c r="E63" s="23"/>
      <c r="F63" s="23"/>
      <c r="G63" s="23"/>
      <c r="H63" s="23"/>
      <c r="I63" s="23"/>
      <c r="J63" s="23"/>
      <c r="K63" s="23"/>
      <c r="L63" s="23"/>
      <c r="M63" s="23"/>
      <c r="N63" s="24"/>
    </row>
    <row r="64" spans="1:16" ht="11.25">
      <c r="A64" s="38"/>
      <c r="B64" s="23"/>
      <c r="C64" s="23"/>
      <c r="D64" s="23"/>
      <c r="E64" s="23"/>
      <c r="F64" s="23"/>
      <c r="G64" s="23"/>
      <c r="H64" s="23"/>
      <c r="I64" s="23"/>
      <c r="J64" s="23"/>
      <c r="K64" s="23"/>
      <c r="L64" s="23"/>
      <c r="M64" s="23"/>
      <c r="N64" s="24"/>
      <c r="P64" s="44" t="s">
        <v>41</v>
      </c>
    </row>
    <row r="65" spans="1:14" ht="11.25">
      <c r="A65" s="38"/>
      <c r="B65" s="23"/>
      <c r="C65" s="23"/>
      <c r="D65" s="23"/>
      <c r="E65" s="23"/>
      <c r="F65" s="23"/>
      <c r="G65" s="23"/>
      <c r="H65" s="23"/>
      <c r="I65" s="23"/>
      <c r="J65" s="23"/>
      <c r="K65" s="23"/>
      <c r="L65" s="23"/>
      <c r="M65" s="23"/>
      <c r="N65" s="24"/>
    </row>
    <row r="66" spans="1:14" ht="12.75" thickBot="1">
      <c r="A66" s="39"/>
      <c r="B66" s="40"/>
      <c r="C66" s="40"/>
      <c r="D66" s="40"/>
      <c r="E66" s="40"/>
      <c r="F66" s="40"/>
      <c r="G66" s="40"/>
      <c r="H66" s="40"/>
      <c r="I66" s="40"/>
      <c r="J66" s="40"/>
      <c r="K66" s="40"/>
      <c r="L66" s="40"/>
      <c r="M66" s="40"/>
      <c r="N66" s="41"/>
    </row>
  </sheetData>
  <mergeCells count="122">
    <mergeCell ref="G5:H5"/>
    <mergeCell ref="G6:H6"/>
    <mergeCell ref="G7:H7"/>
    <mergeCell ref="G8:H8"/>
    <mergeCell ref="G9:H9"/>
    <mergeCell ref="J9:K9"/>
    <mergeCell ref="G2:N2"/>
    <mergeCell ref="G3:H3"/>
    <mergeCell ref="J3:K3"/>
    <mergeCell ref="M3:N3"/>
    <mergeCell ref="G4:H4"/>
    <mergeCell ref="J4:K4"/>
    <mergeCell ref="M4:N4"/>
    <mergeCell ref="G13:H13"/>
    <mergeCell ref="J13:K13"/>
    <mergeCell ref="M13:N13"/>
    <mergeCell ref="G14:H14"/>
    <mergeCell ref="J14:K14"/>
    <mergeCell ref="M14:N14"/>
    <mergeCell ref="M9:N9"/>
    <mergeCell ref="G11:H11"/>
    <mergeCell ref="J11:K11"/>
    <mergeCell ref="M11:N11"/>
    <mergeCell ref="G12:H12"/>
    <mergeCell ref="J12:K12"/>
    <mergeCell ref="M12:N12"/>
    <mergeCell ref="G18:H18"/>
    <mergeCell ref="J18:K18"/>
    <mergeCell ref="M18:N18"/>
    <mergeCell ref="G19:H19"/>
    <mergeCell ref="J19:K19"/>
    <mergeCell ref="M19:N19"/>
    <mergeCell ref="G15:H15"/>
    <mergeCell ref="J15:K15"/>
    <mergeCell ref="M15:N15"/>
    <mergeCell ref="G16:H16"/>
    <mergeCell ref="J16:K16"/>
    <mergeCell ref="M16:N16"/>
    <mergeCell ref="G22:H22"/>
    <mergeCell ref="J22:K22"/>
    <mergeCell ref="M22:N22"/>
    <mergeCell ref="G24:H24"/>
    <mergeCell ref="J24:K24"/>
    <mergeCell ref="M24:N24"/>
    <mergeCell ref="G20:H20"/>
    <mergeCell ref="J20:K20"/>
    <mergeCell ref="M20:N20"/>
    <mergeCell ref="G21:H21"/>
    <mergeCell ref="J21:K21"/>
    <mergeCell ref="M21:N21"/>
    <mergeCell ref="G28:H28"/>
    <mergeCell ref="J28:K28"/>
    <mergeCell ref="M28:N28"/>
    <mergeCell ref="G29:H29"/>
    <mergeCell ref="J29:K29"/>
    <mergeCell ref="M29:N29"/>
    <mergeCell ref="G25:H25"/>
    <mergeCell ref="J25:K25"/>
    <mergeCell ref="M25:N25"/>
    <mergeCell ref="G27:H27"/>
    <mergeCell ref="J27:K27"/>
    <mergeCell ref="M27:N27"/>
    <mergeCell ref="G34:H34"/>
    <mergeCell ref="J34:K34"/>
    <mergeCell ref="M34:N34"/>
    <mergeCell ref="G35:H35"/>
    <mergeCell ref="J35:K35"/>
    <mergeCell ref="M35:N35"/>
    <mergeCell ref="G31:H31"/>
    <mergeCell ref="J31:K31"/>
    <mergeCell ref="M31:N31"/>
    <mergeCell ref="G33:H33"/>
    <mergeCell ref="J33:K33"/>
    <mergeCell ref="M33:N33"/>
    <mergeCell ref="G39:H39"/>
    <mergeCell ref="J39:K39"/>
    <mergeCell ref="M39:N39"/>
    <mergeCell ref="G40:H40"/>
    <mergeCell ref="J40:K40"/>
    <mergeCell ref="M40:N40"/>
    <mergeCell ref="G36:H36"/>
    <mergeCell ref="J36:K36"/>
    <mergeCell ref="M36:N36"/>
    <mergeCell ref="G38:H38"/>
    <mergeCell ref="J38:K38"/>
    <mergeCell ref="M38:N38"/>
    <mergeCell ref="G51:H51"/>
    <mergeCell ref="J51:K51"/>
    <mergeCell ref="M51:N51"/>
    <mergeCell ref="G52:H52"/>
    <mergeCell ref="J52:K52"/>
    <mergeCell ref="M52:N52"/>
    <mergeCell ref="G41:H41"/>
    <mergeCell ref="J41:K41"/>
    <mergeCell ref="M41:N41"/>
    <mergeCell ref="G43:H43"/>
    <mergeCell ref="J43:K43"/>
    <mergeCell ref="M43:N43"/>
    <mergeCell ref="G59:H59"/>
    <mergeCell ref="J59:K59"/>
    <mergeCell ref="M59:N59"/>
    <mergeCell ref="G44:H44"/>
    <mergeCell ref="J44:K44"/>
    <mergeCell ref="M44:N44"/>
    <mergeCell ref="G57:H57"/>
    <mergeCell ref="J57:K57"/>
    <mergeCell ref="M57:N57"/>
    <mergeCell ref="G58:H58"/>
    <mergeCell ref="J58:K58"/>
    <mergeCell ref="M58:N58"/>
    <mergeCell ref="G55:H55"/>
    <mergeCell ref="J55:K55"/>
    <mergeCell ref="M55:N55"/>
    <mergeCell ref="G56:H56"/>
    <mergeCell ref="J56:K56"/>
    <mergeCell ref="M56:N56"/>
    <mergeCell ref="G53:H53"/>
    <mergeCell ref="J53:K53"/>
    <mergeCell ref="M53:N53"/>
    <mergeCell ref="G54:H54"/>
    <mergeCell ref="J54:K54"/>
    <mergeCell ref="M54:N54"/>
  </mergeCells>
  <printOptions/>
  <pageMargins left="0.25" right="0.25" top="0.75" bottom="0.75" header="0.3" footer="0.3"/>
  <pageSetup fitToHeight="1" fitToWidth="1" horizontalDpi="1200" verticalDpi="1200" orientation="portrait" scale="94" r:id="rId3"/>
  <colBreaks count="1" manualBreakCount="1">
    <brk id="14" max="16383" man="1"/>
  </colBreaks>
  <legacyDrawing r:id="rId2"/>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V66"/>
  <sheetViews>
    <sheetView showGridLines="0" workbookViewId="0" topLeftCell="A10">
      <selection activeCell="Q16" sqref="Q16"/>
    </sheetView>
  </sheetViews>
  <sheetFormatPr defaultColWidth="9.00390625" defaultRowHeight="11.25"/>
  <cols>
    <col min="1" max="1" width="4.625" style="1" customWidth="1"/>
    <col min="2" max="5" width="9.00390625" style="1" customWidth="1"/>
    <col min="6" max="6" width="7.125" style="1" customWidth="1"/>
    <col min="7" max="8" width="9.125" style="1" customWidth="1"/>
    <col min="9" max="9" width="1.75390625" style="1" customWidth="1"/>
    <col min="10" max="11" width="9.125" style="1" customWidth="1"/>
    <col min="12" max="12" width="1.75390625" style="1" customWidth="1"/>
    <col min="13" max="14" width="9.125" style="1" customWidth="1"/>
    <col min="15" max="15" width="3.75390625" style="10" customWidth="1"/>
    <col min="16" max="16384" width="9.00390625" style="10" customWidth="1"/>
  </cols>
  <sheetData>
    <row r="1" spans="1:14" s="12" customFormat="1" ht="11.25">
      <c r="A1" s="17" t="s">
        <v>88</v>
      </c>
      <c r="B1" s="18"/>
      <c r="C1" s="18"/>
      <c r="D1" s="18"/>
      <c r="E1" s="18"/>
      <c r="F1" s="18"/>
      <c r="G1" s="18"/>
      <c r="H1" s="18"/>
      <c r="I1" s="18"/>
      <c r="J1" s="18"/>
      <c r="K1" s="18"/>
      <c r="L1" s="18"/>
      <c r="M1" s="18"/>
      <c r="N1" s="19"/>
    </row>
    <row r="2" spans="1:16" s="12" customFormat="1" ht="11.25">
      <c r="A2" s="20" t="s">
        <v>89</v>
      </c>
      <c r="B2" s="15"/>
      <c r="C2" s="15"/>
      <c r="D2" s="15"/>
      <c r="E2" s="15"/>
      <c r="F2" s="15"/>
      <c r="G2" s="328" t="s">
        <v>26</v>
      </c>
      <c r="H2" s="328"/>
      <c r="I2" s="328"/>
      <c r="J2" s="328"/>
      <c r="K2" s="328"/>
      <c r="L2" s="328"/>
      <c r="M2" s="328"/>
      <c r="N2" s="329"/>
      <c r="P2" s="43" t="s">
        <v>27</v>
      </c>
    </row>
    <row r="3" spans="1:14" ht="11.25">
      <c r="A3" s="45"/>
      <c r="B3" s="2"/>
      <c r="C3" s="2"/>
      <c r="D3" s="2"/>
      <c r="E3" s="2"/>
      <c r="F3" s="16" t="s">
        <v>14</v>
      </c>
      <c r="G3" s="330">
        <v>19</v>
      </c>
      <c r="H3" s="327"/>
      <c r="I3" s="2"/>
      <c r="J3" s="330">
        <v>18</v>
      </c>
      <c r="K3" s="327"/>
      <c r="L3" s="2"/>
      <c r="M3" s="330">
        <v>17</v>
      </c>
      <c r="N3" s="331"/>
    </row>
    <row r="4" spans="1:14" ht="11.25">
      <c r="A4" s="20"/>
      <c r="B4" s="2"/>
      <c r="C4" s="2"/>
      <c r="D4" s="2"/>
      <c r="E4" s="2"/>
      <c r="F4" s="16" t="s">
        <v>15</v>
      </c>
      <c r="G4" s="330" t="s">
        <v>80</v>
      </c>
      <c r="H4" s="327"/>
      <c r="I4" s="2"/>
      <c r="J4" s="330" t="s">
        <v>81</v>
      </c>
      <c r="K4" s="327"/>
      <c r="L4" s="2"/>
      <c r="M4" s="330" t="s">
        <v>82</v>
      </c>
      <c r="N4" s="331"/>
    </row>
    <row r="5" spans="1:14" ht="11.25">
      <c r="A5" s="20"/>
      <c r="B5" s="2"/>
      <c r="C5" s="2"/>
      <c r="D5" s="2"/>
      <c r="E5" s="2"/>
      <c r="F5" s="16" t="s">
        <v>16</v>
      </c>
      <c r="G5" s="321" t="s">
        <v>99</v>
      </c>
      <c r="H5" s="322"/>
      <c r="I5" s="2"/>
      <c r="J5" s="28"/>
      <c r="K5" s="28"/>
      <c r="L5" s="28"/>
      <c r="M5" s="28"/>
      <c r="N5" s="33"/>
    </row>
    <row r="6" spans="1:14" ht="11.25">
      <c r="A6" s="20"/>
      <c r="B6" s="2"/>
      <c r="C6" s="2"/>
      <c r="D6" s="2"/>
      <c r="E6" s="2"/>
      <c r="F6" s="16" t="s">
        <v>17</v>
      </c>
      <c r="G6" s="323" t="s">
        <v>174</v>
      </c>
      <c r="H6" s="323"/>
      <c r="I6" s="2"/>
      <c r="J6" s="28"/>
      <c r="K6" s="28"/>
      <c r="L6" s="28"/>
      <c r="M6" s="28"/>
      <c r="N6" s="33"/>
    </row>
    <row r="7" spans="1:14" ht="11.25">
      <c r="A7" s="20"/>
      <c r="B7" s="2"/>
      <c r="C7" s="2"/>
      <c r="D7" s="2"/>
      <c r="E7" s="2"/>
      <c r="F7" s="16" t="s">
        <v>33</v>
      </c>
      <c r="G7" s="324" t="s">
        <v>97</v>
      </c>
      <c r="H7" s="325"/>
      <c r="I7" s="2"/>
      <c r="J7" s="28"/>
      <c r="K7" s="28"/>
      <c r="L7" s="28"/>
      <c r="M7" s="28"/>
      <c r="N7" s="33"/>
    </row>
    <row r="8" spans="1:14" ht="11.25">
      <c r="A8" s="20"/>
      <c r="B8" s="2"/>
      <c r="C8" s="2"/>
      <c r="D8" s="2"/>
      <c r="E8" s="2"/>
      <c r="F8" s="16" t="s">
        <v>18</v>
      </c>
      <c r="G8" s="326">
        <v>43922</v>
      </c>
      <c r="H8" s="327"/>
      <c r="I8" s="2"/>
      <c r="J8" s="28"/>
      <c r="K8" s="28"/>
      <c r="L8" s="28"/>
      <c r="M8" s="28"/>
      <c r="N8" s="33"/>
    </row>
    <row r="9" spans="1:14" ht="12.75">
      <c r="A9" s="21" t="s">
        <v>2</v>
      </c>
      <c r="B9" s="22"/>
      <c r="C9" s="4"/>
      <c r="D9" s="4"/>
      <c r="E9" s="3"/>
      <c r="F9" s="3"/>
      <c r="G9" s="319"/>
      <c r="H9" s="319"/>
      <c r="I9" s="3"/>
      <c r="J9" s="319"/>
      <c r="K9" s="319"/>
      <c r="L9" s="3"/>
      <c r="M9" s="319"/>
      <c r="N9" s="320"/>
    </row>
    <row r="10" spans="1:15" ht="12.75">
      <c r="A10" s="20"/>
      <c r="B10" s="22" t="s">
        <v>56</v>
      </c>
      <c r="C10" s="4"/>
      <c r="D10" s="4"/>
      <c r="E10" s="3"/>
      <c r="F10" s="29"/>
      <c r="G10" s="58"/>
      <c r="H10" s="58"/>
      <c r="I10" s="5"/>
      <c r="J10" s="58"/>
      <c r="K10" s="58"/>
      <c r="L10" s="5"/>
      <c r="M10" s="58"/>
      <c r="N10" s="59"/>
      <c r="O10" s="11"/>
    </row>
    <row r="11" spans="1:16" ht="11.25">
      <c r="A11" s="20"/>
      <c r="B11" s="22"/>
      <c r="C11" s="6"/>
      <c r="D11" s="6"/>
      <c r="E11" s="7"/>
      <c r="F11" s="30" t="s">
        <v>7</v>
      </c>
      <c r="G11" s="313">
        <v>1530</v>
      </c>
      <c r="H11" s="314"/>
      <c r="I11" s="5"/>
      <c r="J11" s="313">
        <v>1290</v>
      </c>
      <c r="K11" s="314"/>
      <c r="L11" s="5"/>
      <c r="M11" s="313">
        <v>1150</v>
      </c>
      <c r="N11" s="315"/>
      <c r="P11" s="10" t="s">
        <v>28</v>
      </c>
    </row>
    <row r="12" spans="1:16" ht="12.75">
      <c r="A12" s="20"/>
      <c r="B12" s="22"/>
      <c r="C12" s="4"/>
      <c r="D12" s="4"/>
      <c r="E12" s="3"/>
      <c r="F12" s="29" t="s">
        <v>5</v>
      </c>
      <c r="G12" s="316">
        <v>0.153</v>
      </c>
      <c r="H12" s="317"/>
      <c r="I12" s="5"/>
      <c r="J12" s="316">
        <v>0.108</v>
      </c>
      <c r="K12" s="317"/>
      <c r="L12" s="5"/>
      <c r="M12" s="316">
        <v>0.037</v>
      </c>
      <c r="N12" s="318"/>
      <c r="O12" s="11"/>
      <c r="P12" s="10" t="s">
        <v>29</v>
      </c>
    </row>
    <row r="13" spans="1:16" ht="12.75">
      <c r="A13" s="20"/>
      <c r="B13" s="22"/>
      <c r="C13" s="4"/>
      <c r="D13" s="4"/>
      <c r="E13" s="3"/>
      <c r="F13" s="29" t="s">
        <v>53</v>
      </c>
      <c r="G13" s="313">
        <v>1</v>
      </c>
      <c r="H13" s="314"/>
      <c r="I13" s="5"/>
      <c r="J13" s="313">
        <v>1</v>
      </c>
      <c r="K13" s="314"/>
      <c r="L13" s="5"/>
      <c r="M13" s="313">
        <v>1</v>
      </c>
      <c r="N13" s="315"/>
      <c r="O13" s="11"/>
      <c r="P13" s="10" t="s">
        <v>71</v>
      </c>
    </row>
    <row r="14" spans="1:16" ht="12.75">
      <c r="A14" s="20"/>
      <c r="B14" s="22"/>
      <c r="C14" s="4"/>
      <c r="D14" s="4"/>
      <c r="E14" s="3"/>
      <c r="F14" s="29" t="s">
        <v>54</v>
      </c>
      <c r="G14" s="313">
        <v>20</v>
      </c>
      <c r="H14" s="314"/>
      <c r="I14" s="5"/>
      <c r="J14" s="313">
        <v>16</v>
      </c>
      <c r="K14" s="314"/>
      <c r="L14" s="5"/>
      <c r="M14" s="313">
        <v>19</v>
      </c>
      <c r="N14" s="315"/>
      <c r="O14" s="11"/>
      <c r="P14" s="10" t="s">
        <v>117</v>
      </c>
    </row>
    <row r="15" spans="1:16" ht="12.75">
      <c r="A15" s="20"/>
      <c r="B15" s="22"/>
      <c r="C15" s="4"/>
      <c r="D15" s="4"/>
      <c r="E15" s="3"/>
      <c r="F15" s="29" t="s">
        <v>55</v>
      </c>
      <c r="G15" s="313">
        <v>4</v>
      </c>
      <c r="H15" s="314"/>
      <c r="I15" s="5"/>
      <c r="J15" s="313">
        <v>2</v>
      </c>
      <c r="K15" s="314"/>
      <c r="L15" s="5"/>
      <c r="M15" s="313">
        <v>4</v>
      </c>
      <c r="N15" s="315"/>
      <c r="O15" s="11"/>
      <c r="P15" s="10" t="s">
        <v>69</v>
      </c>
    </row>
    <row r="16" spans="1:16" ht="12.75">
      <c r="A16" s="20"/>
      <c r="B16" s="22"/>
      <c r="C16" s="4"/>
      <c r="D16" s="4"/>
      <c r="E16" s="3"/>
      <c r="F16" s="29" t="s">
        <v>78</v>
      </c>
      <c r="G16" s="313">
        <v>5</v>
      </c>
      <c r="H16" s="314"/>
      <c r="I16" s="5"/>
      <c r="J16" s="313">
        <v>4</v>
      </c>
      <c r="K16" s="314"/>
      <c r="L16" s="5"/>
      <c r="M16" s="313">
        <v>11</v>
      </c>
      <c r="N16" s="315"/>
      <c r="O16" s="11"/>
      <c r="P16" s="10" t="s">
        <v>86</v>
      </c>
    </row>
    <row r="17" spans="1:15" ht="12.75">
      <c r="A17" s="20"/>
      <c r="B17" s="22" t="s">
        <v>57</v>
      </c>
      <c r="C17" s="4"/>
      <c r="D17" s="4"/>
      <c r="E17" s="3"/>
      <c r="F17" s="29"/>
      <c r="G17" s="58"/>
      <c r="H17" s="58"/>
      <c r="I17" s="5"/>
      <c r="J17" s="58"/>
      <c r="K17" s="58"/>
      <c r="L17" s="5"/>
      <c r="M17" s="58"/>
      <c r="N17" s="59"/>
      <c r="O17" s="11"/>
    </row>
    <row r="18" spans="1:16" ht="11.25">
      <c r="A18" s="20"/>
      <c r="B18" s="22"/>
      <c r="C18" s="6"/>
      <c r="D18" s="6"/>
      <c r="E18" s="7"/>
      <c r="F18" s="30" t="s">
        <v>7</v>
      </c>
      <c r="G18" s="313"/>
      <c r="H18" s="314"/>
      <c r="I18" s="5"/>
      <c r="J18" s="313"/>
      <c r="K18" s="314"/>
      <c r="L18" s="5"/>
      <c r="M18" s="313"/>
      <c r="N18" s="315"/>
      <c r="P18" s="10" t="s">
        <v>28</v>
      </c>
    </row>
    <row r="19" spans="1:16" ht="12.75">
      <c r="A19" s="20"/>
      <c r="B19" s="22"/>
      <c r="C19" s="4"/>
      <c r="D19" s="4"/>
      <c r="E19" s="3"/>
      <c r="F19" s="29" t="s">
        <v>5</v>
      </c>
      <c r="G19" s="316"/>
      <c r="H19" s="317"/>
      <c r="I19" s="5"/>
      <c r="J19" s="316"/>
      <c r="K19" s="317"/>
      <c r="L19" s="5"/>
      <c r="M19" s="316"/>
      <c r="N19" s="318"/>
      <c r="O19" s="11"/>
      <c r="P19" s="10" t="s">
        <v>29</v>
      </c>
    </row>
    <row r="20" spans="1:16" ht="12.75">
      <c r="A20" s="20"/>
      <c r="B20" s="22"/>
      <c r="C20" s="4"/>
      <c r="D20" s="4"/>
      <c r="E20" s="3"/>
      <c r="F20" s="29" t="s">
        <v>58</v>
      </c>
      <c r="G20" s="313"/>
      <c r="H20" s="314"/>
      <c r="I20" s="5"/>
      <c r="J20" s="313"/>
      <c r="K20" s="314"/>
      <c r="L20" s="5"/>
      <c r="M20" s="313"/>
      <c r="N20" s="315"/>
      <c r="O20" s="11"/>
      <c r="P20" s="10" t="s">
        <v>71</v>
      </c>
    </row>
    <row r="21" spans="1:16" ht="12.75">
      <c r="A21" s="20"/>
      <c r="B21" s="22"/>
      <c r="C21" s="4"/>
      <c r="D21" s="4"/>
      <c r="E21" s="3"/>
      <c r="F21" s="29" t="s">
        <v>59</v>
      </c>
      <c r="G21" s="313"/>
      <c r="H21" s="314"/>
      <c r="I21" s="5"/>
      <c r="J21" s="313"/>
      <c r="K21" s="314"/>
      <c r="L21" s="5"/>
      <c r="M21" s="313"/>
      <c r="N21" s="315"/>
      <c r="O21" s="11"/>
      <c r="P21" s="10" t="s">
        <v>83</v>
      </c>
    </row>
    <row r="22" spans="1:16" ht="12.75">
      <c r="A22" s="20"/>
      <c r="B22" s="22"/>
      <c r="C22" s="4"/>
      <c r="D22" s="4"/>
      <c r="E22" s="3"/>
      <c r="F22" s="29" t="s">
        <v>78</v>
      </c>
      <c r="G22" s="313"/>
      <c r="H22" s="314"/>
      <c r="I22" s="5"/>
      <c r="J22" s="313"/>
      <c r="K22" s="314"/>
      <c r="L22" s="5"/>
      <c r="M22" s="313"/>
      <c r="N22" s="315"/>
      <c r="O22" s="11"/>
      <c r="P22" s="10" t="s">
        <v>86</v>
      </c>
    </row>
    <row r="23" spans="1:14" ht="11.25">
      <c r="A23" s="20"/>
      <c r="B23" s="4" t="s">
        <v>6</v>
      </c>
      <c r="C23" s="4"/>
      <c r="D23" s="4"/>
      <c r="E23" s="3"/>
      <c r="F23" s="3"/>
      <c r="G23" s="23"/>
      <c r="H23" s="23"/>
      <c r="I23" s="5"/>
      <c r="J23" s="23"/>
      <c r="K23" s="23"/>
      <c r="L23" s="5"/>
      <c r="M23" s="23"/>
      <c r="N23" s="24"/>
    </row>
    <row r="24" spans="1:16" ht="11.25">
      <c r="A24" s="20"/>
      <c r="B24" s="22"/>
      <c r="C24" s="4"/>
      <c r="D24" s="4"/>
      <c r="E24" s="3"/>
      <c r="F24" s="29" t="s">
        <v>20</v>
      </c>
      <c r="G24" s="293">
        <v>0.412</v>
      </c>
      <c r="H24" s="294"/>
      <c r="I24" s="3"/>
      <c r="J24" s="293">
        <v>0.336</v>
      </c>
      <c r="K24" s="294"/>
      <c r="L24" s="3"/>
      <c r="M24" s="293">
        <v>0.317</v>
      </c>
      <c r="N24" s="295"/>
      <c r="P24" s="10" t="s">
        <v>30</v>
      </c>
    </row>
    <row r="25" spans="1:16" ht="11.25">
      <c r="A25" s="20"/>
      <c r="B25" s="22"/>
      <c r="C25" s="4"/>
      <c r="D25" s="4"/>
      <c r="E25" s="3"/>
      <c r="F25" s="29" t="s">
        <v>21</v>
      </c>
      <c r="G25" s="293">
        <v>0.588</v>
      </c>
      <c r="H25" s="294"/>
      <c r="I25" s="3"/>
      <c r="J25" s="293">
        <v>0.667</v>
      </c>
      <c r="K25" s="294"/>
      <c r="L25" s="3"/>
      <c r="M25" s="293">
        <v>0.683</v>
      </c>
      <c r="N25" s="295"/>
      <c r="P25" s="10" t="s">
        <v>31</v>
      </c>
    </row>
    <row r="26" spans="1:14" ht="11.25">
      <c r="A26" s="62" t="s">
        <v>60</v>
      </c>
      <c r="B26" s="22"/>
      <c r="C26" s="4"/>
      <c r="D26" s="4"/>
      <c r="E26" s="3"/>
      <c r="F26" s="29"/>
      <c r="G26" s="60"/>
      <c r="H26" s="60"/>
      <c r="I26" s="5"/>
      <c r="J26" s="60"/>
      <c r="K26" s="60"/>
      <c r="L26" s="5"/>
      <c r="M26" s="60"/>
      <c r="N26" s="61"/>
    </row>
    <row r="27" spans="1:16" ht="11.25">
      <c r="A27" s="20"/>
      <c r="B27" s="22"/>
      <c r="C27" s="4"/>
      <c r="D27" s="4"/>
      <c r="E27" s="3"/>
      <c r="F27" s="29" t="s">
        <v>61</v>
      </c>
      <c r="G27" s="313">
        <f>106181+56083</f>
        <v>162264</v>
      </c>
      <c r="H27" s="314"/>
      <c r="I27" s="5"/>
      <c r="J27" s="313">
        <f>58380+103099</f>
        <v>161479</v>
      </c>
      <c r="K27" s="314"/>
      <c r="L27" s="5"/>
      <c r="M27" s="313">
        <f>59894+101077</f>
        <v>160971</v>
      </c>
      <c r="N27" s="315"/>
      <c r="P27" s="10" t="s">
        <v>91</v>
      </c>
    </row>
    <row r="28" spans="1:16" ht="11.25">
      <c r="A28" s="20"/>
      <c r="B28" s="22"/>
      <c r="C28" s="4"/>
      <c r="D28" s="4"/>
      <c r="E28" s="3"/>
      <c r="F28" s="29" t="s">
        <v>62</v>
      </c>
      <c r="G28" s="313">
        <v>0</v>
      </c>
      <c r="H28" s="314"/>
      <c r="I28" s="5"/>
      <c r="J28" s="313">
        <v>0</v>
      </c>
      <c r="K28" s="314"/>
      <c r="L28" s="5"/>
      <c r="M28" s="313">
        <v>0</v>
      </c>
      <c r="N28" s="315"/>
      <c r="P28" s="10" t="s">
        <v>91</v>
      </c>
    </row>
    <row r="29" spans="1:16" ht="11.25">
      <c r="A29" s="20"/>
      <c r="B29" s="22"/>
      <c r="C29" s="4"/>
      <c r="D29" s="4"/>
      <c r="E29" s="3"/>
      <c r="F29" s="29" t="s">
        <v>63</v>
      </c>
      <c r="G29" s="310">
        <f>31198+19655</f>
        <v>50853</v>
      </c>
      <c r="H29" s="311"/>
      <c r="I29" s="5"/>
      <c r="J29" s="310">
        <f>20321+30501</f>
        <v>50822</v>
      </c>
      <c r="K29" s="311"/>
      <c r="L29" s="5"/>
      <c r="M29" s="310">
        <f>18009+29846</f>
        <v>47855</v>
      </c>
      <c r="N29" s="312"/>
      <c r="P29" s="10" t="s">
        <v>90</v>
      </c>
    </row>
    <row r="30" spans="1:14" ht="11.25">
      <c r="A30" s="20"/>
      <c r="B30" s="22"/>
      <c r="C30" s="4"/>
      <c r="D30" s="4"/>
      <c r="E30" s="3"/>
      <c r="F30" s="29"/>
      <c r="G30" s="73"/>
      <c r="H30" s="74"/>
      <c r="I30" s="5"/>
      <c r="J30" s="73"/>
      <c r="K30" s="74"/>
      <c r="L30" s="5"/>
      <c r="M30" s="73"/>
      <c r="N30" s="75"/>
    </row>
    <row r="31" spans="1:18" ht="11.25">
      <c r="A31" s="20"/>
      <c r="B31" s="4"/>
      <c r="C31" s="4"/>
      <c r="D31" s="4"/>
      <c r="E31" s="3"/>
      <c r="F31" s="63" t="s">
        <v>64</v>
      </c>
      <c r="G31" s="299">
        <f>SUM(G27:H29)/(G11+G18)</f>
        <v>139.2921568627451</v>
      </c>
      <c r="H31" s="300"/>
      <c r="I31" s="22"/>
      <c r="J31" s="299">
        <f>SUM(J27:K29)/(J11+J18)</f>
        <v>164.57441860465116</v>
      </c>
      <c r="K31" s="300"/>
      <c r="L31" s="22"/>
      <c r="M31" s="299">
        <f>SUM(M27:N29)/(M11+M18)</f>
        <v>181.5878260869565</v>
      </c>
      <c r="N31" s="301"/>
      <c r="O31"/>
      <c r="P31" t="s">
        <v>32</v>
      </c>
      <c r="Q31"/>
      <c r="R31"/>
    </row>
    <row r="32" spans="1:14" ht="11.25">
      <c r="A32" s="21" t="s">
        <v>3</v>
      </c>
      <c r="B32" s="22"/>
      <c r="C32" s="4"/>
      <c r="D32" s="4"/>
      <c r="E32" s="3"/>
      <c r="F32" s="3"/>
      <c r="G32" s="8"/>
      <c r="H32" s="8"/>
      <c r="I32" s="3"/>
      <c r="J32" s="8"/>
      <c r="K32" s="8"/>
      <c r="L32" s="3"/>
      <c r="M32" s="8"/>
      <c r="N32" s="25"/>
    </row>
    <row r="33" spans="1:22" ht="11.25">
      <c r="A33" s="20"/>
      <c r="B33" s="22"/>
      <c r="C33" s="4"/>
      <c r="D33" s="48"/>
      <c r="E33" s="49"/>
      <c r="F33" s="50" t="s">
        <v>43</v>
      </c>
      <c r="G33" s="302">
        <f>1+0.7</f>
        <v>1.7</v>
      </c>
      <c r="H33" s="303"/>
      <c r="I33" s="56"/>
      <c r="J33" s="302">
        <f>1.1+0.7</f>
        <v>1.8</v>
      </c>
      <c r="K33" s="303"/>
      <c r="L33" s="56"/>
      <c r="M33" s="302">
        <f>0.8+0.7</f>
        <v>1.5</v>
      </c>
      <c r="N33" s="304"/>
      <c r="O33"/>
      <c r="P33" s="46" t="s">
        <v>47</v>
      </c>
      <c r="Q33" s="47"/>
      <c r="R33" s="47"/>
      <c r="S33" s="46"/>
      <c r="T33" s="46"/>
      <c r="U33" s="46"/>
      <c r="V33" s="46"/>
    </row>
    <row r="34" spans="1:22" ht="11.25">
      <c r="A34" s="20"/>
      <c r="B34" s="22"/>
      <c r="C34" s="4"/>
      <c r="D34" s="48"/>
      <c r="E34" s="49"/>
      <c r="F34" s="50" t="s">
        <v>44</v>
      </c>
      <c r="G34" s="302">
        <f>0.7/36*45</f>
        <v>0.875</v>
      </c>
      <c r="H34" s="303"/>
      <c r="I34" s="56"/>
      <c r="J34" s="302">
        <f>0.3/36*45</f>
        <v>0.375</v>
      </c>
      <c r="K34" s="303"/>
      <c r="L34" s="56"/>
      <c r="M34" s="302">
        <f>0.1/36*45</f>
        <v>0.125</v>
      </c>
      <c r="N34" s="304"/>
      <c r="O34"/>
      <c r="P34" s="46" t="s">
        <v>48</v>
      </c>
      <c r="Q34" s="47"/>
      <c r="R34" s="47"/>
      <c r="S34" s="46"/>
      <c r="T34" s="46"/>
      <c r="U34" s="46"/>
      <c r="V34" s="46"/>
    </row>
    <row r="35" spans="1:22" ht="11.25">
      <c r="A35" s="20"/>
      <c r="B35" s="22"/>
      <c r="C35" s="4"/>
      <c r="D35" s="48"/>
      <c r="E35" s="49"/>
      <c r="F35" s="50" t="s">
        <v>45</v>
      </c>
      <c r="G35" s="307">
        <v>0</v>
      </c>
      <c r="H35" s="308"/>
      <c r="I35" s="56"/>
      <c r="J35" s="307">
        <f>0.1/36*45</f>
        <v>0.125</v>
      </c>
      <c r="K35" s="308"/>
      <c r="L35" s="56"/>
      <c r="M35" s="307">
        <v>0</v>
      </c>
      <c r="N35" s="309"/>
      <c r="O35"/>
      <c r="P35" s="46" t="s">
        <v>50</v>
      </c>
      <c r="Q35" s="47"/>
      <c r="R35" s="47"/>
      <c r="S35" s="46"/>
      <c r="T35" s="46"/>
      <c r="U35" s="46"/>
      <c r="V35" s="46"/>
    </row>
    <row r="36" spans="1:22" ht="11.25">
      <c r="A36" s="20"/>
      <c r="B36" s="22"/>
      <c r="C36" s="4"/>
      <c r="D36" s="48"/>
      <c r="E36" s="49"/>
      <c r="F36" s="50" t="s">
        <v>46</v>
      </c>
      <c r="G36" s="305">
        <f>0.1/36*45</f>
        <v>0.125</v>
      </c>
      <c r="H36" s="305"/>
      <c r="I36" s="56"/>
      <c r="J36" s="305">
        <f>0.3/36*45</f>
        <v>0.375</v>
      </c>
      <c r="K36" s="305"/>
      <c r="L36" s="56"/>
      <c r="M36" s="305">
        <f>0.3/36*45</f>
        <v>0.375</v>
      </c>
      <c r="N36" s="306"/>
      <c r="O36"/>
      <c r="P36" s="46" t="s">
        <v>49</v>
      </c>
      <c r="Q36" s="47"/>
      <c r="R36" s="47"/>
      <c r="S36" s="46"/>
      <c r="T36" s="46"/>
      <c r="U36" s="46"/>
      <c r="V36" s="46"/>
    </row>
    <row r="37" spans="1:18" s="69" customFormat="1" ht="11.25">
      <c r="A37" s="64"/>
      <c r="B37" s="65"/>
      <c r="C37" s="66"/>
      <c r="D37" s="66"/>
      <c r="E37" s="5"/>
      <c r="F37" s="67"/>
      <c r="G37" s="70"/>
      <c r="H37" s="70"/>
      <c r="I37" s="68"/>
      <c r="J37" s="70"/>
      <c r="K37" s="70"/>
      <c r="L37" s="68"/>
      <c r="M37" s="70"/>
      <c r="N37" s="71"/>
      <c r="O37" s="12"/>
      <c r="Q37" s="12"/>
      <c r="R37" s="12"/>
    </row>
    <row r="38" spans="1:22" ht="11.25">
      <c r="A38" s="20"/>
      <c r="B38" s="22"/>
      <c r="C38" s="4"/>
      <c r="D38" s="48"/>
      <c r="E38" s="49"/>
      <c r="F38" s="50" t="s">
        <v>66</v>
      </c>
      <c r="G38" s="305">
        <f>425+400</f>
        <v>825</v>
      </c>
      <c r="H38" s="305"/>
      <c r="I38" s="56"/>
      <c r="J38" s="305">
        <f>440+375</f>
        <v>815</v>
      </c>
      <c r="K38" s="305"/>
      <c r="L38" s="56"/>
      <c r="M38" s="305">
        <f>305+480</f>
        <v>785</v>
      </c>
      <c r="N38" s="306"/>
      <c r="O38"/>
      <c r="P38" s="46" t="s">
        <v>72</v>
      </c>
      <c r="Q38" s="47"/>
      <c r="R38" s="47"/>
      <c r="S38" s="46"/>
      <c r="T38" s="46"/>
      <c r="U38" s="46"/>
      <c r="V38" s="46"/>
    </row>
    <row r="39" spans="1:22" ht="11.25">
      <c r="A39" s="20"/>
      <c r="B39" s="22"/>
      <c r="C39" s="4"/>
      <c r="D39" s="48"/>
      <c r="E39" s="49"/>
      <c r="F39" s="50" t="s">
        <v>65</v>
      </c>
      <c r="G39" s="299">
        <v>610</v>
      </c>
      <c r="H39" s="300"/>
      <c r="I39" s="56"/>
      <c r="J39" s="299">
        <v>165</v>
      </c>
      <c r="K39" s="300"/>
      <c r="L39" s="56"/>
      <c r="M39" s="299">
        <v>110</v>
      </c>
      <c r="N39" s="301"/>
      <c r="O39"/>
      <c r="P39" s="46" t="s">
        <v>73</v>
      </c>
      <c r="Q39" s="47"/>
      <c r="R39" s="47"/>
      <c r="S39" s="46"/>
      <c r="T39" s="46"/>
      <c r="U39" s="46"/>
      <c r="V39" s="46"/>
    </row>
    <row r="40" spans="1:22" ht="11.25">
      <c r="A40" s="20"/>
      <c r="B40" s="22"/>
      <c r="C40" s="4"/>
      <c r="D40" s="48"/>
      <c r="E40" s="49"/>
      <c r="F40" s="50" t="s">
        <v>67</v>
      </c>
      <c r="G40" s="302">
        <v>0</v>
      </c>
      <c r="H40" s="303"/>
      <c r="I40" s="56"/>
      <c r="J40" s="302">
        <v>115</v>
      </c>
      <c r="K40" s="303"/>
      <c r="L40" s="56"/>
      <c r="M40" s="302">
        <v>255</v>
      </c>
      <c r="N40" s="304"/>
      <c r="O40"/>
      <c r="P40" s="46" t="s">
        <v>75</v>
      </c>
      <c r="Q40" s="47"/>
      <c r="R40" s="47"/>
      <c r="S40" s="46"/>
      <c r="T40" s="46"/>
      <c r="U40" s="46"/>
      <c r="V40" s="46"/>
    </row>
    <row r="41" spans="1:22" ht="11.25">
      <c r="A41" s="20"/>
      <c r="B41" s="22"/>
      <c r="C41" s="4"/>
      <c r="D41" s="48"/>
      <c r="E41" s="49"/>
      <c r="F41" s="50" t="s">
        <v>68</v>
      </c>
      <c r="G41" s="302">
        <v>95</v>
      </c>
      <c r="H41" s="303"/>
      <c r="I41" s="56"/>
      <c r="J41" s="302">
        <v>195</v>
      </c>
      <c r="K41" s="303"/>
      <c r="L41" s="56"/>
      <c r="M41" s="302">
        <v>0</v>
      </c>
      <c r="N41" s="304"/>
      <c r="O41"/>
      <c r="P41" s="46" t="s">
        <v>74</v>
      </c>
      <c r="Q41" s="47"/>
      <c r="R41" s="47"/>
      <c r="S41" s="46"/>
      <c r="T41" s="46"/>
      <c r="U41" s="46"/>
      <c r="V41" s="46"/>
    </row>
    <row r="42" spans="1:18" ht="11.25">
      <c r="A42" s="20"/>
      <c r="B42" s="4"/>
      <c r="C42" s="4"/>
      <c r="D42" s="4"/>
      <c r="E42" s="3"/>
      <c r="F42" s="3"/>
      <c r="G42" s="9"/>
      <c r="H42" s="9"/>
      <c r="I42" s="22"/>
      <c r="J42" s="9"/>
      <c r="K42" s="9"/>
      <c r="L42" s="22"/>
      <c r="M42" s="9"/>
      <c r="N42" s="26"/>
      <c r="O42"/>
      <c r="P42"/>
      <c r="Q42"/>
      <c r="R42"/>
    </row>
    <row r="43" spans="1:18" ht="11.25">
      <c r="A43" s="20"/>
      <c r="B43" s="22"/>
      <c r="C43" s="4"/>
      <c r="D43" s="4"/>
      <c r="E43" s="3"/>
      <c r="F43" s="29" t="s">
        <v>22</v>
      </c>
      <c r="G43" s="302">
        <f>+(G11+G18)/(G33+G34)</f>
        <v>594.1747572815534</v>
      </c>
      <c r="H43" s="303"/>
      <c r="I43" s="22"/>
      <c r="J43" s="302">
        <f>+(J11+J18)/(J33+J34)</f>
        <v>593.1034482758621</v>
      </c>
      <c r="K43" s="303"/>
      <c r="L43" s="22"/>
      <c r="M43" s="302">
        <f>+(M11+M18)/(M33+M34)</f>
        <v>707.6923076923077</v>
      </c>
      <c r="N43" s="303"/>
      <c r="O43"/>
      <c r="P43" t="s">
        <v>32</v>
      </c>
      <c r="Q43"/>
      <c r="R43"/>
    </row>
    <row r="44" spans="1:18" ht="11.25">
      <c r="A44" s="20"/>
      <c r="B44" s="22"/>
      <c r="C44" s="4"/>
      <c r="D44" s="4"/>
      <c r="E44" s="3"/>
      <c r="F44" s="29" t="s">
        <v>216</v>
      </c>
      <c r="G44" s="332">
        <f>(G11+G18)/SUM(G33:H36)</f>
        <v>566.6666666666666</v>
      </c>
      <c r="H44" s="332"/>
      <c r="I44" s="22"/>
      <c r="J44" s="332">
        <f>(J11+J18)/SUM(J33:K36)</f>
        <v>482.24299065420564</v>
      </c>
      <c r="K44" s="332"/>
      <c r="L44" s="22"/>
      <c r="M44" s="332">
        <f>(M11+M18)/SUM(M33:N36)</f>
        <v>575</v>
      </c>
      <c r="N44" s="332"/>
      <c r="O44"/>
      <c r="P44"/>
      <c r="Q44"/>
      <c r="R44"/>
    </row>
    <row r="45" spans="1:17" ht="11.25">
      <c r="A45" s="20"/>
      <c r="B45" s="4"/>
      <c r="C45" s="4"/>
      <c r="D45" s="4"/>
      <c r="E45" s="3"/>
      <c r="F45" s="3"/>
      <c r="G45" s="34" t="s">
        <v>24</v>
      </c>
      <c r="H45" s="34" t="s">
        <v>23</v>
      </c>
      <c r="I45" s="28"/>
      <c r="J45" s="34" t="s">
        <v>24</v>
      </c>
      <c r="K45" s="34" t="s">
        <v>23</v>
      </c>
      <c r="L45" s="28"/>
      <c r="M45" s="34" t="s">
        <v>24</v>
      </c>
      <c r="N45" s="35" t="s">
        <v>23</v>
      </c>
      <c r="O45" s="14"/>
      <c r="P45" s="13"/>
      <c r="Q45" s="31"/>
    </row>
    <row r="46" spans="1:22" ht="11.25">
      <c r="A46" s="20"/>
      <c r="B46" s="4"/>
      <c r="C46" s="4"/>
      <c r="D46" s="52"/>
      <c r="E46" s="53"/>
      <c r="F46" s="54" t="s">
        <v>25</v>
      </c>
      <c r="G46" s="76">
        <v>2</v>
      </c>
      <c r="H46" s="32">
        <f>G46/SUM($G$46:$G$49)</f>
        <v>1</v>
      </c>
      <c r="I46" s="28"/>
      <c r="J46" s="76">
        <v>2</v>
      </c>
      <c r="K46" s="32">
        <f>J46/SUM($J$46:$J$49)</f>
        <v>1</v>
      </c>
      <c r="L46" s="28"/>
      <c r="M46" s="76">
        <v>2</v>
      </c>
      <c r="N46" s="36">
        <f>M46/SUM($M$46:$M$49)</f>
        <v>1</v>
      </c>
      <c r="O46" s="14"/>
      <c r="P46" s="55" t="s">
        <v>84</v>
      </c>
      <c r="Q46" s="51"/>
      <c r="R46" s="55"/>
      <c r="S46" s="55"/>
      <c r="T46" s="55"/>
      <c r="U46" s="55"/>
      <c r="V46" s="55"/>
    </row>
    <row r="47" spans="1:22" ht="11.25">
      <c r="A47" s="20"/>
      <c r="B47" s="4"/>
      <c r="C47" s="4"/>
      <c r="D47" s="52"/>
      <c r="E47" s="53"/>
      <c r="F47" s="54" t="s">
        <v>13</v>
      </c>
      <c r="G47" s="76">
        <v>0</v>
      </c>
      <c r="H47" s="32">
        <f aca="true" t="shared" si="0" ref="H47:H49">G47/SUM($G$46:$G$49)</f>
        <v>0</v>
      </c>
      <c r="I47" s="28"/>
      <c r="J47" s="76">
        <v>0</v>
      </c>
      <c r="K47" s="32">
        <f aca="true" t="shared" si="1" ref="K47:K49">J47/SUM($J$46:$J$49)</f>
        <v>0</v>
      </c>
      <c r="L47" s="28"/>
      <c r="M47" s="76">
        <v>0</v>
      </c>
      <c r="N47" s="36">
        <f aca="true" t="shared" si="2" ref="N47:N49">M47/SUM($M$46:$M$49)</f>
        <v>0</v>
      </c>
      <c r="O47" s="14"/>
      <c r="P47" s="55" t="s">
        <v>84</v>
      </c>
      <c r="Q47" s="51"/>
      <c r="R47" s="55"/>
      <c r="S47" s="55"/>
      <c r="T47" s="55"/>
      <c r="U47" s="55"/>
      <c r="V47" s="55"/>
    </row>
    <row r="48" spans="1:22" ht="11.25">
      <c r="A48" s="20"/>
      <c r="B48" s="4"/>
      <c r="C48" s="4"/>
      <c r="D48" s="52"/>
      <c r="E48" s="53"/>
      <c r="F48" s="54" t="s">
        <v>51</v>
      </c>
      <c r="G48" s="76">
        <v>0</v>
      </c>
      <c r="H48" s="32">
        <f t="shared" si="0"/>
        <v>0</v>
      </c>
      <c r="I48" s="28"/>
      <c r="J48" s="76">
        <v>0</v>
      </c>
      <c r="K48" s="32">
        <f t="shared" si="1"/>
        <v>0</v>
      </c>
      <c r="L48" s="28"/>
      <c r="M48" s="76">
        <v>0</v>
      </c>
      <c r="N48" s="36">
        <f t="shared" si="2"/>
        <v>0</v>
      </c>
      <c r="O48" s="14"/>
      <c r="P48" s="55" t="s">
        <v>85</v>
      </c>
      <c r="Q48" s="51"/>
      <c r="R48" s="55"/>
      <c r="S48" s="55"/>
      <c r="T48" s="55"/>
      <c r="U48" s="55"/>
      <c r="V48" s="55"/>
    </row>
    <row r="49" spans="1:22" ht="11.25">
      <c r="A49" s="20"/>
      <c r="B49" s="4"/>
      <c r="C49" s="4"/>
      <c r="D49" s="52"/>
      <c r="E49" s="53"/>
      <c r="F49" s="54" t="s">
        <v>52</v>
      </c>
      <c r="G49" s="76">
        <v>0</v>
      </c>
      <c r="H49" s="32">
        <f t="shared" si="0"/>
        <v>0</v>
      </c>
      <c r="I49" s="28"/>
      <c r="J49" s="76">
        <v>0</v>
      </c>
      <c r="K49" s="32">
        <f t="shared" si="1"/>
        <v>0</v>
      </c>
      <c r="L49" s="28"/>
      <c r="M49" s="76">
        <v>0</v>
      </c>
      <c r="N49" s="36">
        <f t="shared" si="2"/>
        <v>0</v>
      </c>
      <c r="O49" s="14"/>
      <c r="P49" s="55" t="s">
        <v>85</v>
      </c>
      <c r="Q49" s="51"/>
      <c r="R49" s="55"/>
      <c r="S49" s="55"/>
      <c r="T49" s="55"/>
      <c r="U49" s="55"/>
      <c r="V49" s="55"/>
    </row>
    <row r="50" spans="1:14" ht="11.25">
      <c r="A50" s="21" t="s">
        <v>4</v>
      </c>
      <c r="B50" s="22"/>
      <c r="C50" s="4"/>
      <c r="D50" s="4"/>
      <c r="E50" s="3"/>
      <c r="F50" s="3"/>
      <c r="G50" s="8"/>
      <c r="H50" s="8"/>
      <c r="I50" s="3"/>
      <c r="J50" s="8"/>
      <c r="K50" s="8"/>
      <c r="L50" s="3"/>
      <c r="M50" s="8"/>
      <c r="N50" s="25"/>
    </row>
    <row r="51" spans="1:16" ht="11.25">
      <c r="A51" s="21"/>
      <c r="B51" s="22"/>
      <c r="C51" s="4"/>
      <c r="D51" s="4"/>
      <c r="E51" s="3"/>
      <c r="F51" s="63" t="s">
        <v>77</v>
      </c>
      <c r="G51" s="293">
        <v>0.954</v>
      </c>
      <c r="H51" s="294"/>
      <c r="I51" s="72"/>
      <c r="J51" s="293">
        <v>0.953</v>
      </c>
      <c r="K51" s="294"/>
      <c r="L51" s="72"/>
      <c r="M51" s="293">
        <v>0.961</v>
      </c>
      <c r="N51" s="295"/>
      <c r="P51" s="10" t="s">
        <v>87</v>
      </c>
    </row>
    <row r="52" spans="1:16" ht="11.25">
      <c r="A52" s="21"/>
      <c r="B52" s="22"/>
      <c r="C52" s="4"/>
      <c r="D52" s="4"/>
      <c r="E52" s="3"/>
      <c r="F52" s="63" t="s">
        <v>76</v>
      </c>
      <c r="G52" s="293">
        <v>0.065</v>
      </c>
      <c r="H52" s="294"/>
      <c r="I52" s="72"/>
      <c r="J52" s="293">
        <v>0.059</v>
      </c>
      <c r="K52" s="294"/>
      <c r="L52" s="72"/>
      <c r="M52" s="293">
        <v>0.045</v>
      </c>
      <c r="N52" s="295"/>
      <c r="P52" s="10" t="s">
        <v>79</v>
      </c>
    </row>
    <row r="53" spans="1:16" ht="11" customHeight="1">
      <c r="A53" s="20"/>
      <c r="B53" s="23"/>
      <c r="C53" s="4"/>
      <c r="D53" s="4"/>
      <c r="E53" s="3"/>
      <c r="F53" s="29" t="s">
        <v>10</v>
      </c>
      <c r="G53" s="296">
        <v>3</v>
      </c>
      <c r="H53" s="297"/>
      <c r="I53" s="3"/>
      <c r="J53" s="296">
        <v>1</v>
      </c>
      <c r="K53" s="297"/>
      <c r="L53" s="3"/>
      <c r="M53" s="296">
        <v>2</v>
      </c>
      <c r="N53" s="298"/>
      <c r="P53" s="10" t="s">
        <v>34</v>
      </c>
    </row>
    <row r="54" spans="1:16" ht="11.25">
      <c r="A54" s="20"/>
      <c r="B54" s="23"/>
      <c r="C54" s="4"/>
      <c r="D54" s="4"/>
      <c r="E54" s="3"/>
      <c r="F54" s="29" t="s">
        <v>8</v>
      </c>
      <c r="G54" s="296">
        <v>19</v>
      </c>
      <c r="H54" s="297"/>
      <c r="I54" s="14"/>
      <c r="J54" s="296">
        <v>20</v>
      </c>
      <c r="K54" s="297"/>
      <c r="L54" s="14"/>
      <c r="M54" s="296">
        <v>21</v>
      </c>
      <c r="N54" s="298"/>
      <c r="P54" s="10" t="s">
        <v>36</v>
      </c>
    </row>
    <row r="55" spans="1:16" ht="11.25">
      <c r="A55" s="20"/>
      <c r="B55" s="23"/>
      <c r="C55" s="4"/>
      <c r="D55" s="4"/>
      <c r="E55" s="3"/>
      <c r="F55" s="42" t="s">
        <v>11</v>
      </c>
      <c r="G55" s="296">
        <v>19.1</v>
      </c>
      <c r="H55" s="297"/>
      <c r="I55" s="3"/>
      <c r="J55" s="296">
        <v>19.5</v>
      </c>
      <c r="K55" s="297"/>
      <c r="L55" s="3"/>
      <c r="M55" s="296">
        <v>19.2</v>
      </c>
      <c r="N55" s="298"/>
      <c r="P55" s="10" t="s">
        <v>42</v>
      </c>
    </row>
    <row r="56" spans="1:19" ht="11.25">
      <c r="A56" s="20"/>
      <c r="B56" s="22"/>
      <c r="C56" s="4"/>
      <c r="D56" s="4"/>
      <c r="E56" s="3"/>
      <c r="F56" s="29" t="s">
        <v>9</v>
      </c>
      <c r="G56" s="293">
        <v>0.95</v>
      </c>
      <c r="H56" s="294"/>
      <c r="I56" s="3"/>
      <c r="J56" s="293">
        <v>0.87</v>
      </c>
      <c r="K56" s="294"/>
      <c r="L56" s="3"/>
      <c r="M56" s="293">
        <v>0.9</v>
      </c>
      <c r="N56" s="295"/>
      <c r="P56" s="10" t="s">
        <v>37</v>
      </c>
      <c r="Q56"/>
      <c r="R56"/>
      <c r="S56"/>
    </row>
    <row r="57" spans="1:19" ht="11.25">
      <c r="A57" s="20"/>
      <c r="B57" s="22"/>
      <c r="C57" s="4"/>
      <c r="D57" s="4"/>
      <c r="E57" s="27"/>
      <c r="F57" s="29" t="s">
        <v>12</v>
      </c>
      <c r="G57" s="296">
        <v>0</v>
      </c>
      <c r="H57" s="297"/>
      <c r="I57" s="28"/>
      <c r="J57" s="296">
        <v>0</v>
      </c>
      <c r="K57" s="297"/>
      <c r="L57" s="28"/>
      <c r="M57" s="296">
        <v>0</v>
      </c>
      <c r="N57" s="298"/>
      <c r="P57" s="10" t="s">
        <v>38</v>
      </c>
      <c r="Q57"/>
      <c r="R57"/>
      <c r="S57"/>
    </row>
    <row r="58" spans="1:19" ht="11.25">
      <c r="A58" s="20"/>
      <c r="B58" s="22"/>
      <c r="C58" s="4"/>
      <c r="D58" s="4"/>
      <c r="E58" s="3"/>
      <c r="F58" s="29" t="s">
        <v>19</v>
      </c>
      <c r="G58" s="293">
        <v>0.056</v>
      </c>
      <c r="H58" s="294"/>
      <c r="I58" s="28"/>
      <c r="J58" s="293">
        <v>0.167</v>
      </c>
      <c r="K58" s="294"/>
      <c r="L58" s="28"/>
      <c r="M58" s="293">
        <v>0</v>
      </c>
      <c r="N58" s="295"/>
      <c r="P58" s="10" t="s">
        <v>39</v>
      </c>
      <c r="Q58"/>
      <c r="R58"/>
      <c r="S58"/>
    </row>
    <row r="59" spans="1:19" ht="11.25">
      <c r="A59" s="20"/>
      <c r="B59" s="22"/>
      <c r="C59" s="4"/>
      <c r="D59" s="4"/>
      <c r="E59" s="3"/>
      <c r="F59" s="29" t="s">
        <v>0</v>
      </c>
      <c r="G59" s="293">
        <v>0.134</v>
      </c>
      <c r="H59" s="294"/>
      <c r="I59" s="28"/>
      <c r="J59" s="293">
        <v>0.108</v>
      </c>
      <c r="K59" s="294"/>
      <c r="L59" s="28"/>
      <c r="M59" s="293">
        <v>0</v>
      </c>
      <c r="N59" s="295"/>
      <c r="P59" s="10" t="s">
        <v>40</v>
      </c>
      <c r="Q59"/>
      <c r="R59"/>
      <c r="S59"/>
    </row>
    <row r="60" spans="1:14" ht="11.25">
      <c r="A60" s="21" t="s">
        <v>1</v>
      </c>
      <c r="B60" s="28"/>
      <c r="C60" s="28"/>
      <c r="D60" s="28"/>
      <c r="E60" s="28"/>
      <c r="F60" s="28"/>
      <c r="G60" s="28"/>
      <c r="H60" s="28"/>
      <c r="I60" s="28"/>
      <c r="J60" s="28"/>
      <c r="K60" s="28"/>
      <c r="L60" s="28"/>
      <c r="M60" s="28"/>
      <c r="N60" s="33"/>
    </row>
    <row r="61" spans="1:16" ht="11.25">
      <c r="A61" s="37" t="s">
        <v>151</v>
      </c>
      <c r="B61" s="28"/>
      <c r="C61" s="28"/>
      <c r="D61" s="28"/>
      <c r="E61" s="28"/>
      <c r="F61" s="28"/>
      <c r="G61" s="28"/>
      <c r="H61" s="28"/>
      <c r="I61" s="28"/>
      <c r="J61" s="28"/>
      <c r="K61" s="28"/>
      <c r="L61" s="28"/>
      <c r="M61" s="28"/>
      <c r="N61" s="33"/>
      <c r="P61" t="s">
        <v>35</v>
      </c>
    </row>
    <row r="62" spans="1:14" ht="11.25">
      <c r="A62" s="38"/>
      <c r="B62" s="23"/>
      <c r="C62" s="23"/>
      <c r="D62" s="23"/>
      <c r="E62" s="23"/>
      <c r="F62" s="23"/>
      <c r="G62" s="23"/>
      <c r="H62" s="23"/>
      <c r="I62" s="23"/>
      <c r="J62" s="23"/>
      <c r="K62" s="23"/>
      <c r="L62" s="23"/>
      <c r="M62" s="23"/>
      <c r="N62" s="24"/>
    </row>
    <row r="63" spans="1:14" ht="11.25">
      <c r="A63" s="38"/>
      <c r="B63" s="23"/>
      <c r="C63" s="23"/>
      <c r="D63" s="23"/>
      <c r="E63" s="23"/>
      <c r="F63" s="23"/>
      <c r="G63" s="23"/>
      <c r="H63" s="23"/>
      <c r="I63" s="23"/>
      <c r="J63" s="23"/>
      <c r="K63" s="23"/>
      <c r="L63" s="23"/>
      <c r="M63" s="23"/>
      <c r="N63" s="24"/>
    </row>
    <row r="64" spans="1:16" ht="11.25">
      <c r="A64" s="38"/>
      <c r="B64" s="23"/>
      <c r="C64" s="23"/>
      <c r="D64" s="23"/>
      <c r="E64" s="23"/>
      <c r="F64" s="23"/>
      <c r="G64" s="23"/>
      <c r="H64" s="23"/>
      <c r="I64" s="23"/>
      <c r="J64" s="23"/>
      <c r="K64" s="23"/>
      <c r="L64" s="23"/>
      <c r="M64" s="23"/>
      <c r="N64" s="24"/>
      <c r="P64" s="44" t="s">
        <v>41</v>
      </c>
    </row>
    <row r="65" spans="1:14" ht="11.25">
      <c r="A65" s="38"/>
      <c r="B65" s="23"/>
      <c r="C65" s="23"/>
      <c r="D65" s="23"/>
      <c r="E65" s="23"/>
      <c r="F65" s="23"/>
      <c r="G65" s="23"/>
      <c r="H65" s="23"/>
      <c r="I65" s="23"/>
      <c r="J65" s="23"/>
      <c r="K65" s="23"/>
      <c r="L65" s="23"/>
      <c r="M65" s="23"/>
      <c r="N65" s="24"/>
    </row>
    <row r="66" spans="1:14" ht="12.75" thickBot="1">
      <c r="A66" s="39"/>
      <c r="B66" s="40"/>
      <c r="C66" s="40"/>
      <c r="D66" s="40"/>
      <c r="E66" s="40"/>
      <c r="F66" s="40"/>
      <c r="G66" s="40"/>
      <c r="H66" s="40"/>
      <c r="I66" s="40"/>
      <c r="J66" s="40"/>
      <c r="K66" s="40"/>
      <c r="L66" s="40"/>
      <c r="M66" s="40"/>
      <c r="N66" s="41"/>
    </row>
  </sheetData>
  <mergeCells count="122">
    <mergeCell ref="G5:H5"/>
    <mergeCell ref="G6:H6"/>
    <mergeCell ref="G7:H7"/>
    <mergeCell ref="G8:H8"/>
    <mergeCell ref="G9:H9"/>
    <mergeCell ref="J9:K9"/>
    <mergeCell ref="G2:N2"/>
    <mergeCell ref="G3:H3"/>
    <mergeCell ref="J3:K3"/>
    <mergeCell ref="M3:N3"/>
    <mergeCell ref="G4:H4"/>
    <mergeCell ref="J4:K4"/>
    <mergeCell ref="M4:N4"/>
    <mergeCell ref="G13:H13"/>
    <mergeCell ref="J13:K13"/>
    <mergeCell ref="M13:N13"/>
    <mergeCell ref="G14:H14"/>
    <mergeCell ref="J14:K14"/>
    <mergeCell ref="M14:N14"/>
    <mergeCell ref="M9:N9"/>
    <mergeCell ref="G11:H11"/>
    <mergeCell ref="J11:K11"/>
    <mergeCell ref="M11:N11"/>
    <mergeCell ref="G12:H12"/>
    <mergeCell ref="J12:K12"/>
    <mergeCell ref="M12:N12"/>
    <mergeCell ref="G18:H18"/>
    <mergeCell ref="J18:K18"/>
    <mergeCell ref="M18:N18"/>
    <mergeCell ref="G19:H19"/>
    <mergeCell ref="J19:K19"/>
    <mergeCell ref="M19:N19"/>
    <mergeCell ref="G15:H15"/>
    <mergeCell ref="J15:K15"/>
    <mergeCell ref="M15:N15"/>
    <mergeCell ref="G16:H16"/>
    <mergeCell ref="J16:K16"/>
    <mergeCell ref="M16:N16"/>
    <mergeCell ref="G22:H22"/>
    <mergeCell ref="J22:K22"/>
    <mergeCell ref="M22:N22"/>
    <mergeCell ref="G24:H24"/>
    <mergeCell ref="J24:K24"/>
    <mergeCell ref="M24:N24"/>
    <mergeCell ref="G20:H20"/>
    <mergeCell ref="J20:K20"/>
    <mergeCell ref="M20:N20"/>
    <mergeCell ref="G21:H21"/>
    <mergeCell ref="J21:K21"/>
    <mergeCell ref="M21:N21"/>
    <mergeCell ref="G28:H28"/>
    <mergeCell ref="J28:K28"/>
    <mergeCell ref="M28:N28"/>
    <mergeCell ref="G29:H29"/>
    <mergeCell ref="J29:K29"/>
    <mergeCell ref="M29:N29"/>
    <mergeCell ref="G25:H25"/>
    <mergeCell ref="J25:K25"/>
    <mergeCell ref="M25:N25"/>
    <mergeCell ref="G27:H27"/>
    <mergeCell ref="J27:K27"/>
    <mergeCell ref="M27:N27"/>
    <mergeCell ref="G34:H34"/>
    <mergeCell ref="J34:K34"/>
    <mergeCell ref="M34:N34"/>
    <mergeCell ref="G35:H35"/>
    <mergeCell ref="J35:K35"/>
    <mergeCell ref="M35:N35"/>
    <mergeCell ref="G31:H31"/>
    <mergeCell ref="J31:K31"/>
    <mergeCell ref="M31:N31"/>
    <mergeCell ref="G33:H33"/>
    <mergeCell ref="J33:K33"/>
    <mergeCell ref="M33:N33"/>
    <mergeCell ref="G39:H39"/>
    <mergeCell ref="J39:K39"/>
    <mergeCell ref="M39:N39"/>
    <mergeCell ref="G40:H40"/>
    <mergeCell ref="J40:K40"/>
    <mergeCell ref="M40:N40"/>
    <mergeCell ref="G36:H36"/>
    <mergeCell ref="J36:K36"/>
    <mergeCell ref="M36:N36"/>
    <mergeCell ref="G38:H38"/>
    <mergeCell ref="J38:K38"/>
    <mergeCell ref="M38:N38"/>
    <mergeCell ref="G51:H51"/>
    <mergeCell ref="J51:K51"/>
    <mergeCell ref="M51:N51"/>
    <mergeCell ref="G52:H52"/>
    <mergeCell ref="J52:K52"/>
    <mergeCell ref="M52:N52"/>
    <mergeCell ref="G41:H41"/>
    <mergeCell ref="J41:K41"/>
    <mergeCell ref="M41:N41"/>
    <mergeCell ref="G43:H43"/>
    <mergeCell ref="J43:K43"/>
    <mergeCell ref="M43:N43"/>
    <mergeCell ref="G59:H59"/>
    <mergeCell ref="J59:K59"/>
    <mergeCell ref="M59:N59"/>
    <mergeCell ref="G44:H44"/>
    <mergeCell ref="J44:K44"/>
    <mergeCell ref="M44:N44"/>
    <mergeCell ref="G57:H57"/>
    <mergeCell ref="J57:K57"/>
    <mergeCell ref="M57:N57"/>
    <mergeCell ref="G58:H58"/>
    <mergeCell ref="J58:K58"/>
    <mergeCell ref="M58:N58"/>
    <mergeCell ref="G55:H55"/>
    <mergeCell ref="J55:K55"/>
    <mergeCell ref="M55:N55"/>
    <mergeCell ref="G56:H56"/>
    <mergeCell ref="J56:K56"/>
    <mergeCell ref="M56:N56"/>
    <mergeCell ref="G53:H53"/>
    <mergeCell ref="J53:K53"/>
    <mergeCell ref="M53:N53"/>
    <mergeCell ref="G54:H54"/>
    <mergeCell ref="J54:K54"/>
    <mergeCell ref="M54:N54"/>
  </mergeCells>
  <printOptions/>
  <pageMargins left="0.25" right="0.25" top="0.75" bottom="0.75" header="0.3" footer="0.3"/>
  <pageSetup fitToHeight="1" fitToWidth="1" horizontalDpi="1200" verticalDpi="1200" orientation="portrait" scale="94" r:id="rId3"/>
  <colBreaks count="1" manualBreakCount="1">
    <brk id="14" max="16383" man="1"/>
  </colBreaks>
  <legacyDrawing r:id="rId2"/>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1:V66"/>
  <sheetViews>
    <sheetView showGridLines="0" workbookViewId="0" topLeftCell="A10">
      <selection activeCell="G6" sqref="G6:H6"/>
    </sheetView>
  </sheetViews>
  <sheetFormatPr defaultColWidth="9.00390625" defaultRowHeight="11.25"/>
  <cols>
    <col min="1" max="1" width="4.625" style="1" customWidth="1"/>
    <col min="2" max="3" width="11.75390625" style="1" bestFit="1" customWidth="1"/>
    <col min="4" max="5" width="9.00390625" style="1" customWidth="1"/>
    <col min="6" max="6" width="7.125" style="1" customWidth="1"/>
    <col min="7" max="8" width="9.125" style="1" customWidth="1"/>
    <col min="9" max="9" width="1.875" style="1" customWidth="1"/>
    <col min="10" max="11" width="9.125" style="1" customWidth="1"/>
    <col min="12" max="12" width="1.875" style="1" customWidth="1"/>
    <col min="13" max="14" width="9.125" style="1" customWidth="1"/>
    <col min="15" max="15" width="3.875" style="10" customWidth="1"/>
    <col min="16" max="16384" width="9.00390625" style="10" customWidth="1"/>
  </cols>
  <sheetData>
    <row r="1" spans="1:14" s="12" customFormat="1" ht="11.25">
      <c r="A1" s="17" t="s">
        <v>88</v>
      </c>
      <c r="B1" s="18"/>
      <c r="C1" s="18"/>
      <c r="D1" s="18"/>
      <c r="E1" s="18"/>
      <c r="F1" s="18"/>
      <c r="G1" s="18"/>
      <c r="H1" s="18"/>
      <c r="I1" s="18"/>
      <c r="J1" s="18"/>
      <c r="K1" s="18"/>
      <c r="L1" s="18"/>
      <c r="M1" s="18"/>
      <c r="N1" s="19"/>
    </row>
    <row r="2" spans="1:16" s="12" customFormat="1" ht="11.25">
      <c r="A2" s="20" t="s">
        <v>89</v>
      </c>
      <c r="B2" s="15"/>
      <c r="C2" s="15"/>
      <c r="D2" s="15"/>
      <c r="E2" s="15"/>
      <c r="F2" s="15"/>
      <c r="G2" s="328" t="s">
        <v>26</v>
      </c>
      <c r="H2" s="328"/>
      <c r="I2" s="328"/>
      <c r="J2" s="328"/>
      <c r="K2" s="328"/>
      <c r="L2" s="328"/>
      <c r="M2" s="328"/>
      <c r="N2" s="329"/>
      <c r="P2" s="43" t="s">
        <v>27</v>
      </c>
    </row>
    <row r="3" spans="1:14" ht="11.25">
      <c r="A3" s="45"/>
      <c r="B3" s="2"/>
      <c r="C3" s="2"/>
      <c r="D3" s="2"/>
      <c r="E3" s="2"/>
      <c r="F3" s="16" t="s">
        <v>14</v>
      </c>
      <c r="G3" s="330">
        <v>19</v>
      </c>
      <c r="H3" s="327"/>
      <c r="I3" s="2"/>
      <c r="J3" s="330">
        <v>18</v>
      </c>
      <c r="K3" s="327"/>
      <c r="L3" s="2"/>
      <c r="M3" s="330">
        <v>17</v>
      </c>
      <c r="N3" s="331"/>
    </row>
    <row r="4" spans="1:14" ht="11.25">
      <c r="A4" s="20"/>
      <c r="B4" s="2"/>
      <c r="C4" s="2"/>
      <c r="D4" s="2"/>
      <c r="E4" s="2"/>
      <c r="F4" s="16" t="s">
        <v>15</v>
      </c>
      <c r="G4" s="330" t="s">
        <v>80</v>
      </c>
      <c r="H4" s="327"/>
      <c r="I4" s="2"/>
      <c r="J4" s="330" t="s">
        <v>81</v>
      </c>
      <c r="K4" s="327"/>
      <c r="L4" s="2"/>
      <c r="M4" s="330" t="s">
        <v>82</v>
      </c>
      <c r="N4" s="331"/>
    </row>
    <row r="5" spans="1:14" ht="11.25">
      <c r="A5" s="20"/>
      <c r="B5" s="2"/>
      <c r="C5" s="2"/>
      <c r="D5" s="2"/>
      <c r="E5" s="2"/>
      <c r="F5" s="16" t="s">
        <v>16</v>
      </c>
      <c r="G5" s="321" t="s">
        <v>176</v>
      </c>
      <c r="H5" s="322"/>
      <c r="I5" s="2"/>
      <c r="J5" s="28"/>
      <c r="K5" s="28"/>
      <c r="L5" s="28"/>
      <c r="M5" s="28"/>
      <c r="N5" s="33"/>
    </row>
    <row r="6" spans="1:14" ht="11.25">
      <c r="A6" s="20"/>
      <c r="B6" s="2"/>
      <c r="C6" s="2"/>
      <c r="D6" s="2"/>
      <c r="E6" s="2"/>
      <c r="F6" s="16" t="s">
        <v>17</v>
      </c>
      <c r="G6" s="323" t="s">
        <v>177</v>
      </c>
      <c r="H6" s="323"/>
      <c r="I6" s="2"/>
      <c r="J6" s="28"/>
      <c r="K6" s="28"/>
      <c r="L6" s="28"/>
      <c r="M6" s="28"/>
      <c r="N6" s="33"/>
    </row>
    <row r="7" spans="1:14" ht="11.25">
      <c r="A7" s="20"/>
      <c r="B7" s="2"/>
      <c r="C7" s="2"/>
      <c r="D7" s="2"/>
      <c r="E7" s="2"/>
      <c r="F7" s="16" t="s">
        <v>33</v>
      </c>
      <c r="G7" s="324" t="s">
        <v>149</v>
      </c>
      <c r="H7" s="325"/>
      <c r="I7" s="2"/>
      <c r="J7" s="28"/>
      <c r="K7" s="28"/>
      <c r="L7" s="28"/>
      <c r="M7" s="28"/>
      <c r="N7" s="33"/>
    </row>
    <row r="8" spans="1:14" ht="11.25">
      <c r="A8" s="20"/>
      <c r="B8" s="2"/>
      <c r="C8" s="2"/>
      <c r="D8" s="2"/>
      <c r="E8" s="2"/>
      <c r="F8" s="16" t="s">
        <v>18</v>
      </c>
      <c r="G8" s="326">
        <v>43935</v>
      </c>
      <c r="H8" s="327"/>
      <c r="I8" s="2"/>
      <c r="J8" s="28"/>
      <c r="K8" s="28"/>
      <c r="L8" s="28"/>
      <c r="M8" s="28"/>
      <c r="N8" s="33"/>
    </row>
    <row r="9" spans="1:14" ht="12.75">
      <c r="A9" s="21" t="s">
        <v>2</v>
      </c>
      <c r="B9" s="22"/>
      <c r="C9" s="4"/>
      <c r="D9" s="4"/>
      <c r="E9" s="3"/>
      <c r="F9" s="3"/>
      <c r="G9" s="319"/>
      <c r="H9" s="319"/>
      <c r="I9" s="3"/>
      <c r="J9" s="319"/>
      <c r="K9" s="319"/>
      <c r="L9" s="3"/>
      <c r="M9" s="319"/>
      <c r="N9" s="320"/>
    </row>
    <row r="10" spans="1:15" ht="12.75">
      <c r="A10" s="20"/>
      <c r="B10" s="22" t="s">
        <v>56</v>
      </c>
      <c r="C10" s="4"/>
      <c r="D10" s="4"/>
      <c r="E10" s="3"/>
      <c r="F10" s="29"/>
      <c r="G10" s="58"/>
      <c r="H10" s="58"/>
      <c r="I10" s="5"/>
      <c r="J10" s="58"/>
      <c r="K10" s="58"/>
      <c r="L10" s="5"/>
      <c r="M10" s="58"/>
      <c r="N10" s="59"/>
      <c r="O10" s="11"/>
    </row>
    <row r="11" spans="1:16" ht="11.25">
      <c r="A11" s="20"/>
      <c r="B11" s="22"/>
      <c r="C11" s="6"/>
      <c r="D11" s="6"/>
      <c r="E11" s="7"/>
      <c r="F11" s="30" t="s">
        <v>7</v>
      </c>
      <c r="G11" s="313">
        <v>25161</v>
      </c>
      <c r="H11" s="314"/>
      <c r="I11" s="5"/>
      <c r="J11" s="313">
        <v>26964</v>
      </c>
      <c r="K11" s="314"/>
      <c r="L11" s="5"/>
      <c r="M11" s="313">
        <v>28762</v>
      </c>
      <c r="N11" s="315"/>
      <c r="P11" s="10" t="s">
        <v>28</v>
      </c>
    </row>
    <row r="12" spans="1:16" ht="12.75">
      <c r="A12" s="20"/>
      <c r="B12" s="22"/>
      <c r="C12" s="4"/>
      <c r="D12" s="4"/>
      <c r="E12" s="3"/>
      <c r="F12" s="29" t="s">
        <v>5</v>
      </c>
      <c r="G12" s="316">
        <v>-0.067</v>
      </c>
      <c r="H12" s="317"/>
      <c r="I12" s="5"/>
      <c r="J12" s="316">
        <v>-0.063</v>
      </c>
      <c r="K12" s="317"/>
      <c r="L12" s="5"/>
      <c r="M12" s="316">
        <v>-0.069</v>
      </c>
      <c r="N12" s="318"/>
      <c r="O12" s="11"/>
      <c r="P12" s="10" t="s">
        <v>29</v>
      </c>
    </row>
    <row r="13" spans="1:16" ht="12.75">
      <c r="A13" s="20"/>
      <c r="B13" s="22"/>
      <c r="C13" s="4"/>
      <c r="D13" s="4"/>
      <c r="E13" s="3"/>
      <c r="F13" s="29" t="s">
        <v>53</v>
      </c>
      <c r="G13" s="313">
        <v>11</v>
      </c>
      <c r="H13" s="314"/>
      <c r="I13" s="5"/>
      <c r="J13" s="313">
        <v>11</v>
      </c>
      <c r="K13" s="314"/>
      <c r="L13" s="5"/>
      <c r="M13" s="313">
        <v>11</v>
      </c>
      <c r="N13" s="315"/>
      <c r="O13" s="11"/>
      <c r="P13" s="10" t="s">
        <v>71</v>
      </c>
    </row>
    <row r="14" spans="1:16" ht="12.75">
      <c r="A14" s="20"/>
      <c r="B14" s="22"/>
      <c r="C14" s="4"/>
      <c r="D14" s="4"/>
      <c r="E14" s="3"/>
      <c r="F14" s="29" t="s">
        <v>54</v>
      </c>
      <c r="G14" s="313">
        <f>151+237</f>
        <v>388</v>
      </c>
      <c r="H14" s="314"/>
      <c r="I14" s="5"/>
      <c r="J14" s="313">
        <v>387</v>
      </c>
      <c r="K14" s="314"/>
      <c r="L14" s="5"/>
      <c r="M14" s="313">
        <v>428</v>
      </c>
      <c r="N14" s="315"/>
      <c r="O14" s="11"/>
      <c r="P14" s="10" t="s">
        <v>70</v>
      </c>
    </row>
    <row r="15" spans="1:16" ht="12.75">
      <c r="A15" s="20"/>
      <c r="B15" s="22"/>
      <c r="C15" s="4"/>
      <c r="D15" s="4"/>
      <c r="E15" s="3"/>
      <c r="F15" s="29" t="s">
        <v>55</v>
      </c>
      <c r="G15" s="313">
        <f>121+169</f>
        <v>290</v>
      </c>
      <c r="H15" s="314"/>
      <c r="I15" s="5"/>
      <c r="J15" s="313">
        <v>342</v>
      </c>
      <c r="K15" s="314"/>
      <c r="L15" s="5"/>
      <c r="M15" s="313">
        <v>371</v>
      </c>
      <c r="N15" s="315"/>
      <c r="O15" s="11"/>
      <c r="P15" s="10" t="s">
        <v>69</v>
      </c>
    </row>
    <row r="16" spans="1:16" ht="12.75">
      <c r="A16" s="20"/>
      <c r="B16" s="22"/>
      <c r="C16" s="4"/>
      <c r="D16" s="4"/>
      <c r="E16" s="3"/>
      <c r="F16" s="29" t="s">
        <v>78</v>
      </c>
      <c r="G16" s="313">
        <v>180</v>
      </c>
      <c r="H16" s="314"/>
      <c r="I16" s="5"/>
      <c r="J16" s="313">
        <v>182</v>
      </c>
      <c r="K16" s="314"/>
      <c r="L16" s="5"/>
      <c r="M16" s="313">
        <v>154</v>
      </c>
      <c r="N16" s="315"/>
      <c r="O16" s="11"/>
      <c r="P16" s="10" t="s">
        <v>86</v>
      </c>
    </row>
    <row r="17" spans="1:15" ht="12.75">
      <c r="A17" s="20"/>
      <c r="B17" s="22" t="s">
        <v>57</v>
      </c>
      <c r="C17" s="4"/>
      <c r="D17" s="4"/>
      <c r="E17" s="3"/>
      <c r="F17" s="29"/>
      <c r="G17" s="58"/>
      <c r="H17" s="58"/>
      <c r="I17" s="5"/>
      <c r="J17" s="58"/>
      <c r="K17" s="58"/>
      <c r="L17" s="5"/>
      <c r="M17" s="58"/>
      <c r="N17" s="59"/>
      <c r="O17" s="11"/>
    </row>
    <row r="18" spans="1:16" ht="11.25">
      <c r="A18" s="20"/>
      <c r="B18" s="22"/>
      <c r="C18" s="6"/>
      <c r="D18" s="6"/>
      <c r="E18" s="7"/>
      <c r="F18" s="30" t="s">
        <v>7</v>
      </c>
      <c r="G18" s="313">
        <v>896</v>
      </c>
      <c r="H18" s="314"/>
      <c r="I18" s="5"/>
      <c r="J18" s="313">
        <v>478</v>
      </c>
      <c r="K18" s="314"/>
      <c r="L18" s="5"/>
      <c r="M18" s="313">
        <v>582</v>
      </c>
      <c r="N18" s="315"/>
      <c r="P18" s="10" t="s">
        <v>28</v>
      </c>
    </row>
    <row r="19" spans="1:16" ht="12.75">
      <c r="A19" s="20"/>
      <c r="B19" s="22"/>
      <c r="C19" s="4"/>
      <c r="D19" s="4"/>
      <c r="E19" s="3"/>
      <c r="F19" s="29" t="s">
        <v>5</v>
      </c>
      <c r="G19" s="316">
        <v>0.874</v>
      </c>
      <c r="H19" s="317"/>
      <c r="I19" s="5"/>
      <c r="J19" s="316">
        <v>-0.179</v>
      </c>
      <c r="K19" s="317"/>
      <c r="L19" s="5"/>
      <c r="M19" s="316">
        <v>-0.122</v>
      </c>
      <c r="N19" s="318"/>
      <c r="O19" s="11"/>
      <c r="P19" s="10" t="s">
        <v>29</v>
      </c>
    </row>
    <row r="20" spans="1:16" ht="12.75">
      <c r="A20" s="20"/>
      <c r="B20" s="22"/>
      <c r="C20" s="4"/>
      <c r="D20" s="4"/>
      <c r="E20" s="3"/>
      <c r="F20" s="29" t="s">
        <v>58</v>
      </c>
      <c r="G20" s="313">
        <v>2</v>
      </c>
      <c r="H20" s="314"/>
      <c r="I20" s="5"/>
      <c r="J20" s="313">
        <v>2</v>
      </c>
      <c r="K20" s="314"/>
      <c r="L20" s="5"/>
      <c r="M20" s="313">
        <v>2</v>
      </c>
      <c r="N20" s="315"/>
      <c r="O20" s="11"/>
      <c r="P20" s="10" t="s">
        <v>71</v>
      </c>
    </row>
    <row r="21" spans="1:16" ht="12.75">
      <c r="A21" s="20"/>
      <c r="B21" s="22"/>
      <c r="C21" s="4"/>
      <c r="D21" s="4"/>
      <c r="E21" s="3"/>
      <c r="F21" s="29" t="s">
        <v>59</v>
      </c>
      <c r="G21" s="313">
        <v>28</v>
      </c>
      <c r="H21" s="314"/>
      <c r="I21" s="5"/>
      <c r="J21" s="313">
        <v>17</v>
      </c>
      <c r="K21" s="314"/>
      <c r="L21" s="5"/>
      <c r="M21" s="313">
        <v>20</v>
      </c>
      <c r="N21" s="315"/>
      <c r="O21" s="11"/>
      <c r="P21" s="10" t="s">
        <v>83</v>
      </c>
    </row>
    <row r="22" spans="1:16" ht="12.75">
      <c r="A22" s="20"/>
      <c r="B22" s="22"/>
      <c r="C22" s="4"/>
      <c r="D22" s="4"/>
      <c r="E22" s="3"/>
      <c r="F22" s="29" t="s">
        <v>78</v>
      </c>
      <c r="G22" s="313">
        <v>4</v>
      </c>
      <c r="H22" s="314"/>
      <c r="I22" s="5"/>
      <c r="J22" s="313">
        <v>11</v>
      </c>
      <c r="K22" s="314"/>
      <c r="L22" s="5"/>
      <c r="M22" s="313">
        <v>5</v>
      </c>
      <c r="N22" s="315"/>
      <c r="O22" s="11"/>
      <c r="P22" s="10" t="s">
        <v>86</v>
      </c>
    </row>
    <row r="23" spans="1:14" ht="11.25">
      <c r="A23" s="20"/>
      <c r="B23" s="4" t="s">
        <v>6</v>
      </c>
      <c r="C23" s="4"/>
      <c r="D23" s="4"/>
      <c r="E23" s="3"/>
      <c r="F23" s="3"/>
      <c r="G23" s="23"/>
      <c r="H23" s="23"/>
      <c r="I23" s="5"/>
      <c r="J23" s="23"/>
      <c r="K23" s="23"/>
      <c r="L23" s="5"/>
      <c r="M23" s="23"/>
      <c r="N23" s="24"/>
    </row>
    <row r="24" spans="1:16" ht="11.25">
      <c r="A24" s="20"/>
      <c r="B24" s="22"/>
      <c r="C24" s="4"/>
      <c r="D24" s="4"/>
      <c r="E24" s="3"/>
      <c r="F24" s="29" t="s">
        <v>20</v>
      </c>
      <c r="G24" s="293">
        <v>0.465</v>
      </c>
      <c r="H24" s="294"/>
      <c r="I24" s="3"/>
      <c r="J24" s="293">
        <v>0.445</v>
      </c>
      <c r="K24" s="294"/>
      <c r="L24" s="3"/>
      <c r="M24" s="293">
        <v>0.438</v>
      </c>
      <c r="N24" s="295"/>
      <c r="P24" s="10" t="s">
        <v>30</v>
      </c>
    </row>
    <row r="25" spans="1:16" ht="11.25">
      <c r="A25" s="20"/>
      <c r="B25" s="22"/>
      <c r="C25" s="4"/>
      <c r="D25" s="4"/>
      <c r="E25" s="3"/>
      <c r="F25" s="29" t="s">
        <v>21</v>
      </c>
      <c r="G25" s="293">
        <v>0.535</v>
      </c>
      <c r="H25" s="294"/>
      <c r="I25" s="3"/>
      <c r="J25" s="293">
        <v>0.555</v>
      </c>
      <c r="K25" s="294"/>
      <c r="L25" s="3"/>
      <c r="M25" s="293">
        <v>0.562</v>
      </c>
      <c r="N25" s="295"/>
      <c r="P25" s="10" t="s">
        <v>31</v>
      </c>
    </row>
    <row r="26" spans="1:14" ht="11.25">
      <c r="A26" s="62" t="s">
        <v>60</v>
      </c>
      <c r="B26" s="22"/>
      <c r="C26" s="4"/>
      <c r="D26" s="4"/>
      <c r="E26" s="3"/>
      <c r="F26" s="29"/>
      <c r="G26" s="60"/>
      <c r="H26" s="60"/>
      <c r="I26" s="5"/>
      <c r="J26" s="60"/>
      <c r="K26" s="60"/>
      <c r="L26" s="5"/>
      <c r="M26" s="60"/>
      <c r="N26" s="61"/>
    </row>
    <row r="27" spans="1:16" ht="11.25">
      <c r="A27" s="20"/>
      <c r="B27" s="78"/>
      <c r="C27" s="78"/>
      <c r="D27" s="4"/>
      <c r="E27" s="3"/>
      <c r="F27" s="29" t="s">
        <v>61</v>
      </c>
      <c r="G27" s="313">
        <v>1620362.66</v>
      </c>
      <c r="H27" s="314"/>
      <c r="I27" s="5"/>
      <c r="J27" s="313">
        <v>1575179.4</v>
      </c>
      <c r="K27" s="314"/>
      <c r="L27" s="5"/>
      <c r="M27" s="313">
        <v>1638673.92</v>
      </c>
      <c r="N27" s="315"/>
      <c r="P27" s="10" t="s">
        <v>91</v>
      </c>
    </row>
    <row r="28" spans="1:16" ht="11.25">
      <c r="A28" s="20"/>
      <c r="B28" s="79"/>
      <c r="C28" s="80"/>
      <c r="D28" s="4"/>
      <c r="E28" s="3"/>
      <c r="F28" s="29" t="s">
        <v>62</v>
      </c>
      <c r="G28" s="313">
        <f>159344.84-7895</f>
        <v>151449.84</v>
      </c>
      <c r="H28" s="314"/>
      <c r="I28" s="5"/>
      <c r="J28" s="313">
        <f>186015.65+17136</f>
        <v>203151.65</v>
      </c>
      <c r="K28" s="314"/>
      <c r="L28" s="5"/>
      <c r="M28" s="313">
        <v>183740.54</v>
      </c>
      <c r="N28" s="315"/>
      <c r="P28" s="10" t="s">
        <v>91</v>
      </c>
    </row>
    <row r="29" spans="1:16" ht="11.25">
      <c r="A29" s="20"/>
      <c r="B29" s="22"/>
      <c r="C29" s="81"/>
      <c r="D29" s="4"/>
      <c r="E29" s="3"/>
      <c r="F29" s="29" t="s">
        <v>63</v>
      </c>
      <c r="G29" s="310">
        <v>538646.72</v>
      </c>
      <c r="H29" s="311"/>
      <c r="I29" s="5"/>
      <c r="J29" s="310">
        <v>542116.77</v>
      </c>
      <c r="K29" s="311"/>
      <c r="L29" s="5"/>
      <c r="M29" s="310">
        <v>512944.4</v>
      </c>
      <c r="N29" s="312"/>
      <c r="P29" s="10" t="s">
        <v>90</v>
      </c>
    </row>
    <row r="30" spans="1:14" ht="11.25">
      <c r="A30" s="20"/>
      <c r="B30" s="22"/>
      <c r="C30" s="78"/>
      <c r="D30" s="4"/>
      <c r="E30" s="3"/>
      <c r="F30" s="29"/>
      <c r="G30" s="73"/>
      <c r="H30" s="74"/>
      <c r="I30" s="5"/>
      <c r="J30" s="73"/>
      <c r="K30" s="74"/>
      <c r="L30" s="5"/>
      <c r="M30" s="73"/>
      <c r="N30" s="75"/>
    </row>
    <row r="31" spans="1:18" ht="11.25">
      <c r="A31" s="20"/>
      <c r="B31" s="4"/>
      <c r="C31" s="4"/>
      <c r="D31" s="4"/>
      <c r="E31" s="3"/>
      <c r="F31" s="63" t="s">
        <v>64</v>
      </c>
      <c r="G31" s="299">
        <f>SUM(G27:H29)/(G11+G18)</f>
        <v>88.66942549027132</v>
      </c>
      <c r="H31" s="300"/>
      <c r="I31" s="22"/>
      <c r="J31" s="299">
        <f>SUM(J27:K29)/(J11+J18)</f>
        <v>84.55826178849938</v>
      </c>
      <c r="K31" s="300"/>
      <c r="L31" s="22"/>
      <c r="M31" s="299">
        <f>SUM(M27:N29)/(M11+M18)</f>
        <v>79.58556638495092</v>
      </c>
      <c r="N31" s="301"/>
      <c r="O31"/>
      <c r="P31" t="s">
        <v>32</v>
      </c>
      <c r="Q31"/>
      <c r="R31"/>
    </row>
    <row r="32" spans="1:14" ht="11.25">
      <c r="A32" s="21" t="s">
        <v>3</v>
      </c>
      <c r="B32" s="22"/>
      <c r="C32" s="4"/>
      <c r="D32" s="4"/>
      <c r="E32" s="3"/>
      <c r="F32" s="3"/>
      <c r="G32" s="8"/>
      <c r="H32" s="8"/>
      <c r="I32" s="3"/>
      <c r="J32" s="8"/>
      <c r="K32" s="8"/>
      <c r="L32" s="3"/>
      <c r="M32" s="8"/>
      <c r="N32" s="25"/>
    </row>
    <row r="33" spans="1:22" ht="11.25">
      <c r="A33" s="20"/>
      <c r="B33" s="22"/>
      <c r="C33" s="4"/>
      <c r="D33" s="48"/>
      <c r="E33" s="49"/>
      <c r="F33" s="50" t="s">
        <v>43</v>
      </c>
      <c r="G33" s="302">
        <v>11.8</v>
      </c>
      <c r="H33" s="303"/>
      <c r="I33" s="56"/>
      <c r="J33" s="302">
        <v>10.8</v>
      </c>
      <c r="K33" s="303"/>
      <c r="L33" s="56"/>
      <c r="M33" s="302">
        <f>5.3+6.8</f>
        <v>12.1</v>
      </c>
      <c r="N33" s="304"/>
      <c r="O33"/>
      <c r="P33" s="46" t="s">
        <v>47</v>
      </c>
      <c r="Q33" s="47"/>
      <c r="R33" s="47"/>
      <c r="S33" s="46"/>
      <c r="T33" s="46"/>
      <c r="U33" s="46"/>
      <c r="V33" s="46"/>
    </row>
    <row r="34" spans="1:22" ht="11.25">
      <c r="A34" s="20"/>
      <c r="B34" s="22"/>
      <c r="C34" s="4"/>
      <c r="D34" s="48"/>
      <c r="E34" s="49"/>
      <c r="F34" s="50" t="s">
        <v>44</v>
      </c>
      <c r="G34" s="302">
        <v>3.8</v>
      </c>
      <c r="H34" s="303"/>
      <c r="I34" s="56"/>
      <c r="J34" s="302">
        <v>4.6</v>
      </c>
      <c r="K34" s="303"/>
      <c r="L34" s="56"/>
      <c r="M34" s="302">
        <v>3.6</v>
      </c>
      <c r="N34" s="304"/>
      <c r="O34"/>
      <c r="P34" s="46" t="s">
        <v>48</v>
      </c>
      <c r="Q34" s="47"/>
      <c r="R34" s="47"/>
      <c r="S34" s="46"/>
      <c r="T34" s="46"/>
      <c r="U34" s="46"/>
      <c r="V34" s="46"/>
    </row>
    <row r="35" spans="1:22" ht="11.25">
      <c r="A35" s="20"/>
      <c r="B35" s="22"/>
      <c r="C35" s="4"/>
      <c r="D35" s="48"/>
      <c r="E35" s="49"/>
      <c r="F35" s="50" t="s">
        <v>45</v>
      </c>
      <c r="G35" s="307">
        <v>2.6</v>
      </c>
      <c r="H35" s="308"/>
      <c r="I35" s="56"/>
      <c r="J35" s="307">
        <v>3.3</v>
      </c>
      <c r="K35" s="308"/>
      <c r="L35" s="56"/>
      <c r="M35" s="307">
        <v>3.3</v>
      </c>
      <c r="N35" s="309"/>
      <c r="O35"/>
      <c r="P35" s="46" t="s">
        <v>50</v>
      </c>
      <c r="Q35" s="47"/>
      <c r="R35" s="47"/>
      <c r="S35" s="46"/>
      <c r="T35" s="46"/>
      <c r="U35" s="46"/>
      <c r="V35" s="46"/>
    </row>
    <row r="36" spans="1:22" ht="11.25">
      <c r="A36" s="20"/>
      <c r="B36" s="22"/>
      <c r="C36" s="4"/>
      <c r="D36" s="48"/>
      <c r="E36" s="49"/>
      <c r="F36" s="50" t="s">
        <v>46</v>
      </c>
      <c r="G36" s="305">
        <v>0.6</v>
      </c>
      <c r="H36" s="305"/>
      <c r="I36" s="56"/>
      <c r="J36" s="305">
        <v>0.9</v>
      </c>
      <c r="K36" s="305"/>
      <c r="L36" s="56"/>
      <c r="M36" s="305">
        <v>1</v>
      </c>
      <c r="N36" s="306"/>
      <c r="O36"/>
      <c r="P36" s="46" t="s">
        <v>49</v>
      </c>
      <c r="Q36" s="47"/>
      <c r="R36" s="47"/>
      <c r="S36" s="46"/>
      <c r="T36" s="46"/>
      <c r="U36" s="46"/>
      <c r="V36" s="46"/>
    </row>
    <row r="37" spans="1:18" s="69" customFormat="1" ht="11.25">
      <c r="A37" s="64"/>
      <c r="B37" s="65"/>
      <c r="C37" s="66"/>
      <c r="D37" s="66"/>
      <c r="E37" s="5"/>
      <c r="F37" s="67"/>
      <c r="G37" s="70"/>
      <c r="H37" s="70"/>
      <c r="I37" s="68"/>
      <c r="J37" s="70"/>
      <c r="K37" s="70"/>
      <c r="L37" s="68"/>
      <c r="M37" s="70"/>
      <c r="N37" s="71"/>
      <c r="O37" s="12"/>
      <c r="Q37" s="12"/>
      <c r="R37" s="12"/>
    </row>
    <row r="38" spans="1:22" ht="11.25">
      <c r="A38" s="20"/>
      <c r="B38" s="22"/>
      <c r="C38" s="4"/>
      <c r="D38" s="48"/>
      <c r="E38" s="49"/>
      <c r="F38" s="50" t="s">
        <v>66</v>
      </c>
      <c r="G38" s="305">
        <f>5468+5440</f>
        <v>10908</v>
      </c>
      <c r="H38" s="305"/>
      <c r="I38" s="56"/>
      <c r="J38" s="305">
        <f>5522+4577</f>
        <v>10099</v>
      </c>
      <c r="K38" s="305"/>
      <c r="L38" s="56"/>
      <c r="M38" s="305">
        <f>5251+6495</f>
        <v>11746</v>
      </c>
      <c r="N38" s="306"/>
      <c r="O38"/>
      <c r="P38" s="46" t="s">
        <v>72</v>
      </c>
      <c r="Q38" s="47"/>
      <c r="R38" s="47"/>
      <c r="S38" s="46"/>
      <c r="T38" s="46"/>
      <c r="U38" s="46"/>
      <c r="V38" s="46"/>
    </row>
    <row r="39" spans="1:22" ht="11.25">
      <c r="A39" s="20"/>
      <c r="B39" s="22"/>
      <c r="C39" s="4"/>
      <c r="D39" s="48"/>
      <c r="E39" s="49"/>
      <c r="F39" s="50" t="s">
        <v>65</v>
      </c>
      <c r="G39" s="299">
        <v>9817</v>
      </c>
      <c r="H39" s="300"/>
      <c r="I39" s="56"/>
      <c r="J39" s="299">
        <v>11415</v>
      </c>
      <c r="K39" s="300"/>
      <c r="L39" s="56"/>
      <c r="M39" s="299">
        <v>11942</v>
      </c>
      <c r="N39" s="301"/>
      <c r="O39"/>
      <c r="P39" s="46" t="s">
        <v>73</v>
      </c>
      <c r="Q39" s="47"/>
      <c r="R39" s="47"/>
      <c r="S39" s="46"/>
      <c r="T39" s="46"/>
      <c r="U39" s="46"/>
      <c r="V39" s="46"/>
    </row>
    <row r="40" spans="1:22" ht="11.25">
      <c r="A40" s="20"/>
      <c r="B40" s="22"/>
      <c r="C40" s="4"/>
      <c r="D40" s="48"/>
      <c r="E40" s="49"/>
      <c r="F40" s="50" t="s">
        <v>67</v>
      </c>
      <c r="G40" s="302">
        <f>2105+1030</f>
        <v>3135</v>
      </c>
      <c r="H40" s="303"/>
      <c r="I40" s="56"/>
      <c r="J40" s="302">
        <f>2111+1681</f>
        <v>3792</v>
      </c>
      <c r="K40" s="303"/>
      <c r="L40" s="56"/>
      <c r="M40" s="302">
        <f>2053+1659</f>
        <v>3712</v>
      </c>
      <c r="N40" s="304"/>
      <c r="O40"/>
      <c r="P40" s="46" t="s">
        <v>75</v>
      </c>
      <c r="Q40" s="47"/>
      <c r="R40" s="47"/>
      <c r="S40" s="46"/>
      <c r="T40" s="46"/>
      <c r="U40" s="46"/>
      <c r="V40" s="46"/>
    </row>
    <row r="41" spans="1:22" ht="11.25">
      <c r="A41" s="20"/>
      <c r="B41" s="22"/>
      <c r="C41" s="4"/>
      <c r="D41" s="48"/>
      <c r="E41" s="49"/>
      <c r="F41" s="50" t="s">
        <v>68</v>
      </c>
      <c r="G41" s="302">
        <v>250</v>
      </c>
      <c r="H41" s="303"/>
      <c r="I41" s="56"/>
      <c r="J41" s="302">
        <v>295</v>
      </c>
      <c r="K41" s="303"/>
      <c r="L41" s="56"/>
      <c r="M41" s="302">
        <v>354</v>
      </c>
      <c r="N41" s="304"/>
      <c r="O41"/>
      <c r="P41" s="46" t="s">
        <v>74</v>
      </c>
      <c r="Q41" s="47"/>
      <c r="R41" s="47"/>
      <c r="S41" s="46"/>
      <c r="T41" s="46"/>
      <c r="U41" s="46"/>
      <c r="V41" s="46"/>
    </row>
    <row r="42" spans="1:18" ht="11.25">
      <c r="A42" s="20"/>
      <c r="B42" s="4"/>
      <c r="C42" s="4"/>
      <c r="D42" s="4"/>
      <c r="E42" s="3"/>
      <c r="F42" s="3"/>
      <c r="G42" s="9"/>
      <c r="H42" s="9"/>
      <c r="I42" s="22"/>
      <c r="J42" s="9"/>
      <c r="K42" s="9"/>
      <c r="L42" s="22"/>
      <c r="M42" s="9"/>
      <c r="N42" s="26"/>
      <c r="O42"/>
      <c r="P42"/>
      <c r="Q42"/>
      <c r="R42"/>
    </row>
    <row r="43" spans="1:18" ht="11.25">
      <c r="A43" s="20"/>
      <c r="B43" s="22"/>
      <c r="C43" s="4"/>
      <c r="D43" s="4"/>
      <c r="E43" s="3"/>
      <c r="F43" s="29" t="s">
        <v>22</v>
      </c>
      <c r="G43" s="302">
        <f>+(G11+G18)/(G33+G34)</f>
        <v>1670.3205128205127</v>
      </c>
      <c r="H43" s="303"/>
      <c r="I43" s="22"/>
      <c r="J43" s="302">
        <f>+(J11+J18)/(J33+J34)</f>
        <v>1781.948051948052</v>
      </c>
      <c r="K43" s="303"/>
      <c r="L43" s="22"/>
      <c r="M43" s="302">
        <f>+(M11+M18)/(M33+M34)</f>
        <v>1869.0445859872611</v>
      </c>
      <c r="N43" s="303"/>
      <c r="O43"/>
      <c r="P43" t="s">
        <v>32</v>
      </c>
      <c r="Q43"/>
      <c r="R43"/>
    </row>
    <row r="44" spans="1:18" ht="11.25">
      <c r="A44" s="20"/>
      <c r="B44" s="22"/>
      <c r="C44" s="4"/>
      <c r="D44" s="4"/>
      <c r="E44" s="3"/>
      <c r="F44" s="29" t="s">
        <v>216</v>
      </c>
      <c r="G44" s="332">
        <f>(G11+G18)/SUM(G33:H36)</f>
        <v>1386.010638297872</v>
      </c>
      <c r="H44" s="332"/>
      <c r="I44" s="22"/>
      <c r="J44" s="332">
        <f>(J11+J18)/SUM(J33:K36)</f>
        <v>1400.1020408163267</v>
      </c>
      <c r="K44" s="332"/>
      <c r="L44" s="22"/>
      <c r="M44" s="332">
        <f>(M11+M18)/SUM(M33:N36)</f>
        <v>1467.2</v>
      </c>
      <c r="N44" s="332"/>
      <c r="O44"/>
      <c r="P44"/>
      <c r="Q44"/>
      <c r="R44"/>
    </row>
    <row r="45" spans="1:17" ht="11.25">
      <c r="A45" s="20"/>
      <c r="B45" s="4"/>
      <c r="C45" s="4"/>
      <c r="D45" s="4"/>
      <c r="E45" s="3"/>
      <c r="F45" s="3"/>
      <c r="G45" s="34" t="s">
        <v>24</v>
      </c>
      <c r="H45" s="34" t="s">
        <v>23</v>
      </c>
      <c r="I45" s="28"/>
      <c r="J45" s="34" t="s">
        <v>24</v>
      </c>
      <c r="K45" s="34" t="s">
        <v>23</v>
      </c>
      <c r="L45" s="28"/>
      <c r="M45" s="34" t="s">
        <v>24</v>
      </c>
      <c r="N45" s="35" t="s">
        <v>23</v>
      </c>
      <c r="O45" s="14"/>
      <c r="P45" s="13"/>
      <c r="Q45" s="31"/>
    </row>
    <row r="46" spans="1:22" ht="11.25">
      <c r="A46" s="20"/>
      <c r="B46" s="4"/>
      <c r="C46" s="4"/>
      <c r="D46" s="52"/>
      <c r="E46" s="53"/>
      <c r="F46" s="54" t="s">
        <v>25</v>
      </c>
      <c r="G46" s="76">
        <v>16</v>
      </c>
      <c r="H46" s="32">
        <f>G46/SUM($G$46:$G$49)</f>
        <v>0.7619047619047619</v>
      </c>
      <c r="I46" s="28"/>
      <c r="J46" s="76">
        <v>16</v>
      </c>
      <c r="K46" s="32">
        <f>J46/SUM($J$46:$J$49)</f>
        <v>0.7619047619047619</v>
      </c>
      <c r="L46" s="28"/>
      <c r="M46" s="76">
        <v>16</v>
      </c>
      <c r="N46" s="36">
        <f>M46/SUM($M$46:$M$49)</f>
        <v>0.7619047619047619</v>
      </c>
      <c r="O46" s="14"/>
      <c r="P46" s="55" t="s">
        <v>84</v>
      </c>
      <c r="Q46" s="51"/>
      <c r="R46" s="55"/>
      <c r="S46" s="55"/>
      <c r="T46" s="55"/>
      <c r="U46" s="55"/>
      <c r="V46" s="55"/>
    </row>
    <row r="47" spans="1:22" ht="11.25">
      <c r="A47" s="20"/>
      <c r="B47" s="4"/>
      <c r="C47" s="4"/>
      <c r="D47" s="52"/>
      <c r="E47" s="53"/>
      <c r="F47" s="54" t="s">
        <v>13</v>
      </c>
      <c r="G47" s="76">
        <v>4</v>
      </c>
      <c r="H47" s="32">
        <f aca="true" t="shared" si="0" ref="H47:H49">G47/SUM($G$46:$G$49)</f>
        <v>0.19047619047619047</v>
      </c>
      <c r="I47" s="28"/>
      <c r="J47" s="76">
        <v>4</v>
      </c>
      <c r="K47" s="32">
        <f aca="true" t="shared" si="1" ref="K47:K49">J47/SUM($J$46:$J$49)</f>
        <v>0.19047619047619047</v>
      </c>
      <c r="L47" s="28"/>
      <c r="M47" s="76">
        <v>4</v>
      </c>
      <c r="N47" s="36">
        <f aca="true" t="shared" si="2" ref="N47:N49">M47/SUM($M$46:$M$49)</f>
        <v>0.19047619047619047</v>
      </c>
      <c r="O47" s="14"/>
      <c r="P47" s="55" t="s">
        <v>84</v>
      </c>
      <c r="Q47" s="51"/>
      <c r="R47" s="55"/>
      <c r="S47" s="55"/>
      <c r="T47" s="55"/>
      <c r="U47" s="55"/>
      <c r="V47" s="55"/>
    </row>
    <row r="48" spans="1:22" ht="11.25">
      <c r="A48" s="20"/>
      <c r="B48" s="4"/>
      <c r="C48" s="4"/>
      <c r="D48" s="52"/>
      <c r="E48" s="53"/>
      <c r="F48" s="54" t="s">
        <v>51</v>
      </c>
      <c r="G48" s="76"/>
      <c r="H48" s="32">
        <f t="shared" si="0"/>
        <v>0</v>
      </c>
      <c r="I48" s="28"/>
      <c r="J48" s="76"/>
      <c r="K48" s="32">
        <f t="shared" si="1"/>
        <v>0</v>
      </c>
      <c r="L48" s="28"/>
      <c r="M48" s="76"/>
      <c r="N48" s="36">
        <f t="shared" si="2"/>
        <v>0</v>
      </c>
      <c r="O48" s="14"/>
      <c r="P48" s="55" t="s">
        <v>85</v>
      </c>
      <c r="Q48" s="51"/>
      <c r="R48" s="55"/>
      <c r="S48" s="55"/>
      <c r="T48" s="55"/>
      <c r="U48" s="55"/>
      <c r="V48" s="55"/>
    </row>
    <row r="49" spans="1:22" ht="11.25">
      <c r="A49" s="20"/>
      <c r="B49" s="4"/>
      <c r="C49" s="4"/>
      <c r="D49" s="52"/>
      <c r="E49" s="53"/>
      <c r="F49" s="54" t="s">
        <v>52</v>
      </c>
      <c r="G49" s="76">
        <v>1</v>
      </c>
      <c r="H49" s="32">
        <f t="shared" si="0"/>
        <v>0.047619047619047616</v>
      </c>
      <c r="I49" s="28"/>
      <c r="J49" s="76">
        <v>1</v>
      </c>
      <c r="K49" s="32">
        <f t="shared" si="1"/>
        <v>0.047619047619047616</v>
      </c>
      <c r="L49" s="28"/>
      <c r="M49" s="76">
        <v>1</v>
      </c>
      <c r="N49" s="36">
        <f t="shared" si="2"/>
        <v>0.047619047619047616</v>
      </c>
      <c r="O49" s="14"/>
      <c r="P49" s="55" t="s">
        <v>85</v>
      </c>
      <c r="Q49" s="51"/>
      <c r="R49" s="55"/>
      <c r="S49" s="55"/>
      <c r="T49" s="55"/>
      <c r="U49" s="55"/>
      <c r="V49" s="55"/>
    </row>
    <row r="50" spans="1:14" ht="11.25">
      <c r="A50" s="21" t="s">
        <v>4</v>
      </c>
      <c r="B50" s="22"/>
      <c r="C50" s="4"/>
      <c r="D50" s="4"/>
      <c r="E50" s="3"/>
      <c r="F50" s="3"/>
      <c r="G50" s="8"/>
      <c r="H50" s="8"/>
      <c r="I50" s="3"/>
      <c r="J50" s="8"/>
      <c r="K50" s="8"/>
      <c r="L50" s="3"/>
      <c r="M50" s="8"/>
      <c r="N50" s="25"/>
    </row>
    <row r="51" spans="1:16" ht="11.25">
      <c r="A51" s="21"/>
      <c r="B51" s="22"/>
      <c r="C51" s="4"/>
      <c r="D51" s="4"/>
      <c r="E51" s="3"/>
      <c r="F51" s="63" t="s">
        <v>77</v>
      </c>
      <c r="G51" s="293">
        <v>0.941</v>
      </c>
      <c r="H51" s="294"/>
      <c r="I51" s="72"/>
      <c r="J51" s="293">
        <v>0.926</v>
      </c>
      <c r="K51" s="294"/>
      <c r="L51" s="72"/>
      <c r="M51" s="293">
        <v>0.925</v>
      </c>
      <c r="N51" s="295"/>
      <c r="P51" s="10" t="s">
        <v>87</v>
      </c>
    </row>
    <row r="52" spans="1:16" ht="11.25">
      <c r="A52" s="21"/>
      <c r="B52" s="22"/>
      <c r="C52" s="4"/>
      <c r="D52" s="4"/>
      <c r="E52" s="3"/>
      <c r="F52" s="63" t="s">
        <v>76</v>
      </c>
      <c r="G52" s="293">
        <v>0.164</v>
      </c>
      <c r="H52" s="294"/>
      <c r="I52" s="72"/>
      <c r="J52" s="293">
        <v>0.154</v>
      </c>
      <c r="K52" s="294"/>
      <c r="L52" s="72"/>
      <c r="M52" s="293">
        <v>0.155</v>
      </c>
      <c r="N52" s="295"/>
      <c r="P52" s="10" t="s">
        <v>79</v>
      </c>
    </row>
    <row r="53" spans="1:16" ht="10.65" customHeight="1">
      <c r="A53" s="20"/>
      <c r="B53" s="23"/>
      <c r="C53" s="4"/>
      <c r="D53" s="4"/>
      <c r="E53" s="3"/>
      <c r="F53" s="29" t="s">
        <v>10</v>
      </c>
      <c r="G53" s="296">
        <v>41</v>
      </c>
      <c r="H53" s="297"/>
      <c r="I53" s="3"/>
      <c r="J53" s="296">
        <v>32</v>
      </c>
      <c r="K53" s="297"/>
      <c r="L53" s="3"/>
      <c r="M53" s="296">
        <v>31</v>
      </c>
      <c r="N53" s="298"/>
      <c r="P53" s="10" t="s">
        <v>34</v>
      </c>
    </row>
    <row r="54" spans="1:16" ht="11.25">
      <c r="A54" s="20"/>
      <c r="B54" s="23"/>
      <c r="C54" s="4"/>
      <c r="D54" s="4"/>
      <c r="E54" s="3"/>
      <c r="F54" s="29" t="s">
        <v>8</v>
      </c>
      <c r="G54" s="296">
        <v>16</v>
      </c>
      <c r="H54" s="297"/>
      <c r="I54" s="14"/>
      <c r="J54" s="296">
        <v>17</v>
      </c>
      <c r="K54" s="297"/>
      <c r="L54" s="14"/>
      <c r="M54" s="296">
        <v>16</v>
      </c>
      <c r="N54" s="298"/>
      <c r="P54" s="10" t="s">
        <v>36</v>
      </c>
    </row>
    <row r="55" spans="1:16" ht="11.25">
      <c r="A55" s="20"/>
      <c r="B55" s="23"/>
      <c r="C55" s="4"/>
      <c r="D55" s="4"/>
      <c r="E55" s="3"/>
      <c r="F55" s="42" t="s">
        <v>11</v>
      </c>
      <c r="G55" s="296">
        <v>17.2</v>
      </c>
      <c r="H55" s="297"/>
      <c r="I55" s="3"/>
      <c r="J55" s="296">
        <v>17.3</v>
      </c>
      <c r="K55" s="297"/>
      <c r="L55" s="3"/>
      <c r="M55" s="296">
        <v>18.8</v>
      </c>
      <c r="N55" s="298"/>
      <c r="P55" s="10" t="s">
        <v>42</v>
      </c>
    </row>
    <row r="56" spans="1:19" ht="11.25">
      <c r="A56" s="20"/>
      <c r="B56" s="22"/>
      <c r="C56" s="4"/>
      <c r="D56" s="4"/>
      <c r="E56" s="3"/>
      <c r="F56" s="29" t="s">
        <v>9</v>
      </c>
      <c r="G56" s="293">
        <v>0.56</v>
      </c>
      <c r="H56" s="294"/>
      <c r="I56" s="3"/>
      <c r="J56" s="293">
        <v>0.51</v>
      </c>
      <c r="K56" s="294"/>
      <c r="L56" s="3"/>
      <c r="M56" s="293">
        <v>0.56</v>
      </c>
      <c r="N56" s="295"/>
      <c r="P56" s="10" t="s">
        <v>37</v>
      </c>
      <c r="Q56"/>
      <c r="R56"/>
      <c r="S56"/>
    </row>
    <row r="57" spans="1:19" ht="11.25">
      <c r="A57" s="20"/>
      <c r="B57" s="22"/>
      <c r="C57" s="4"/>
      <c r="D57" s="4"/>
      <c r="E57" s="27"/>
      <c r="F57" s="29" t="s">
        <v>12</v>
      </c>
      <c r="G57" s="296">
        <v>80</v>
      </c>
      <c r="H57" s="297"/>
      <c r="I57" s="28"/>
      <c r="J57" s="296">
        <v>87</v>
      </c>
      <c r="K57" s="297"/>
      <c r="L57" s="28"/>
      <c r="M57" s="296">
        <v>84</v>
      </c>
      <c r="N57" s="298"/>
      <c r="P57" s="10" t="s">
        <v>38</v>
      </c>
      <c r="Q57"/>
      <c r="R57"/>
      <c r="S57"/>
    </row>
    <row r="58" spans="1:19" ht="11.25">
      <c r="A58" s="20"/>
      <c r="B58" s="22"/>
      <c r="C58" s="4"/>
      <c r="D58" s="4"/>
      <c r="E58" s="3"/>
      <c r="F58" s="29" t="s">
        <v>19</v>
      </c>
      <c r="G58" s="293">
        <v>0.325</v>
      </c>
      <c r="H58" s="294"/>
      <c r="I58" s="28"/>
      <c r="J58" s="293">
        <v>0.325</v>
      </c>
      <c r="K58" s="294"/>
      <c r="L58" s="28"/>
      <c r="M58" s="293">
        <v>0.332</v>
      </c>
      <c r="N58" s="295"/>
      <c r="P58" s="10" t="s">
        <v>39</v>
      </c>
      <c r="Q58"/>
      <c r="R58"/>
      <c r="S58"/>
    </row>
    <row r="59" spans="1:19" ht="11.25">
      <c r="A59" s="20"/>
      <c r="B59" s="22"/>
      <c r="C59" s="4"/>
      <c r="D59" s="4"/>
      <c r="E59" s="3"/>
      <c r="F59" s="29" t="s">
        <v>0</v>
      </c>
      <c r="G59" s="293">
        <v>-0.004</v>
      </c>
      <c r="H59" s="294"/>
      <c r="I59" s="28"/>
      <c r="J59" s="293">
        <v>0.004</v>
      </c>
      <c r="K59" s="294"/>
      <c r="L59" s="28"/>
      <c r="M59" s="293">
        <v>-0.004</v>
      </c>
      <c r="N59" s="295"/>
      <c r="P59" s="10" t="s">
        <v>40</v>
      </c>
      <c r="Q59"/>
      <c r="R59"/>
      <c r="S59"/>
    </row>
    <row r="60" spans="1:14" ht="11.25">
      <c r="A60" s="21" t="s">
        <v>1</v>
      </c>
      <c r="B60" s="28"/>
      <c r="C60" s="28"/>
      <c r="D60" s="28"/>
      <c r="E60" s="28"/>
      <c r="F60" s="28"/>
      <c r="G60" s="28"/>
      <c r="H60" s="28"/>
      <c r="I60" s="28"/>
      <c r="J60" s="28"/>
      <c r="K60" s="28"/>
      <c r="L60" s="28"/>
      <c r="M60" s="28"/>
      <c r="N60" s="33"/>
    </row>
    <row r="61" spans="1:16" ht="11.25">
      <c r="A61" s="37"/>
      <c r="B61" s="28" t="s">
        <v>178</v>
      </c>
      <c r="C61" s="28"/>
      <c r="D61" s="28"/>
      <c r="E61" s="28"/>
      <c r="F61" s="28"/>
      <c r="G61" s="28"/>
      <c r="H61" s="28"/>
      <c r="I61" s="28"/>
      <c r="J61" s="28"/>
      <c r="K61" s="28"/>
      <c r="L61" s="28"/>
      <c r="M61" s="28"/>
      <c r="N61" s="33"/>
      <c r="P61" t="s">
        <v>35</v>
      </c>
    </row>
    <row r="62" spans="1:14" ht="11.25">
      <c r="A62" s="38"/>
      <c r="B62" s="23" t="s">
        <v>179</v>
      </c>
      <c r="C62" s="23"/>
      <c r="D62" s="23"/>
      <c r="E62" s="23"/>
      <c r="F62" s="23"/>
      <c r="G62" s="23"/>
      <c r="H62" s="23"/>
      <c r="I62" s="23"/>
      <c r="J62" s="23"/>
      <c r="K62" s="23"/>
      <c r="L62" s="23"/>
      <c r="M62" s="23"/>
      <c r="N62" s="24"/>
    </row>
    <row r="63" spans="1:14" ht="11.25">
      <c r="A63" s="38"/>
      <c r="B63" s="23"/>
      <c r="C63" s="23"/>
      <c r="D63" s="23"/>
      <c r="E63" s="23"/>
      <c r="F63" s="23"/>
      <c r="G63" s="23"/>
      <c r="H63" s="23"/>
      <c r="I63" s="23"/>
      <c r="J63" s="23"/>
      <c r="K63" s="23"/>
      <c r="L63" s="23"/>
      <c r="M63" s="23"/>
      <c r="N63" s="24"/>
    </row>
    <row r="64" spans="1:16" ht="11.25">
      <c r="A64" s="38"/>
      <c r="B64" s="23"/>
      <c r="C64" s="23"/>
      <c r="D64" s="23"/>
      <c r="E64" s="23"/>
      <c r="F64" s="23"/>
      <c r="G64" s="23"/>
      <c r="H64" s="23"/>
      <c r="I64" s="23"/>
      <c r="J64" s="23"/>
      <c r="K64" s="23"/>
      <c r="L64" s="23"/>
      <c r="M64" s="23"/>
      <c r="N64" s="24"/>
      <c r="P64" s="44" t="s">
        <v>41</v>
      </c>
    </row>
    <row r="65" spans="1:14" ht="11.25">
      <c r="A65" s="38"/>
      <c r="B65" s="23"/>
      <c r="C65" s="23"/>
      <c r="D65" s="23"/>
      <c r="E65" s="23"/>
      <c r="F65" s="23"/>
      <c r="G65" s="23"/>
      <c r="H65" s="23"/>
      <c r="I65" s="23"/>
      <c r="J65" s="23"/>
      <c r="K65" s="23"/>
      <c r="L65" s="23"/>
      <c r="M65" s="23"/>
      <c r="N65" s="24"/>
    </row>
    <row r="66" spans="1:14" ht="12.75" thickBot="1">
      <c r="A66" s="39"/>
      <c r="B66" s="40"/>
      <c r="C66" s="40"/>
      <c r="D66" s="40"/>
      <c r="E66" s="40"/>
      <c r="F66" s="40"/>
      <c r="G66" s="40"/>
      <c r="H66" s="40"/>
      <c r="I66" s="40"/>
      <c r="J66" s="40"/>
      <c r="K66" s="40"/>
      <c r="L66" s="40"/>
      <c r="M66" s="40"/>
      <c r="N66" s="41"/>
    </row>
  </sheetData>
  <mergeCells count="122">
    <mergeCell ref="G5:H5"/>
    <mergeCell ref="G6:H6"/>
    <mergeCell ref="G7:H7"/>
    <mergeCell ref="G8:H8"/>
    <mergeCell ref="G9:H9"/>
    <mergeCell ref="J9:K9"/>
    <mergeCell ref="G2:N2"/>
    <mergeCell ref="G3:H3"/>
    <mergeCell ref="J3:K3"/>
    <mergeCell ref="M3:N3"/>
    <mergeCell ref="G4:H4"/>
    <mergeCell ref="J4:K4"/>
    <mergeCell ref="M4:N4"/>
    <mergeCell ref="G13:H13"/>
    <mergeCell ref="J13:K13"/>
    <mergeCell ref="M13:N13"/>
    <mergeCell ref="G14:H14"/>
    <mergeCell ref="J14:K14"/>
    <mergeCell ref="M14:N14"/>
    <mergeCell ref="M9:N9"/>
    <mergeCell ref="G11:H11"/>
    <mergeCell ref="J11:K11"/>
    <mergeCell ref="M11:N11"/>
    <mergeCell ref="G12:H12"/>
    <mergeCell ref="J12:K12"/>
    <mergeCell ref="M12:N12"/>
    <mergeCell ref="G18:H18"/>
    <mergeCell ref="J18:K18"/>
    <mergeCell ref="M18:N18"/>
    <mergeCell ref="G19:H19"/>
    <mergeCell ref="J19:K19"/>
    <mergeCell ref="M19:N19"/>
    <mergeCell ref="G15:H15"/>
    <mergeCell ref="J15:K15"/>
    <mergeCell ref="M15:N15"/>
    <mergeCell ref="G16:H16"/>
    <mergeCell ref="J16:K16"/>
    <mergeCell ref="M16:N16"/>
    <mergeCell ref="G22:H22"/>
    <mergeCell ref="J22:K22"/>
    <mergeCell ref="M22:N22"/>
    <mergeCell ref="G24:H24"/>
    <mergeCell ref="J24:K24"/>
    <mergeCell ref="M24:N24"/>
    <mergeCell ref="G20:H20"/>
    <mergeCell ref="J20:K20"/>
    <mergeCell ref="M20:N20"/>
    <mergeCell ref="G21:H21"/>
    <mergeCell ref="J21:K21"/>
    <mergeCell ref="M21:N21"/>
    <mergeCell ref="G28:H28"/>
    <mergeCell ref="J28:K28"/>
    <mergeCell ref="M28:N28"/>
    <mergeCell ref="G29:H29"/>
    <mergeCell ref="J29:K29"/>
    <mergeCell ref="M29:N29"/>
    <mergeCell ref="G25:H25"/>
    <mergeCell ref="J25:K25"/>
    <mergeCell ref="M25:N25"/>
    <mergeCell ref="G27:H27"/>
    <mergeCell ref="J27:K27"/>
    <mergeCell ref="M27:N27"/>
    <mergeCell ref="G34:H34"/>
    <mergeCell ref="J34:K34"/>
    <mergeCell ref="M34:N34"/>
    <mergeCell ref="G35:H35"/>
    <mergeCell ref="J35:K35"/>
    <mergeCell ref="M35:N35"/>
    <mergeCell ref="G31:H31"/>
    <mergeCell ref="J31:K31"/>
    <mergeCell ref="M31:N31"/>
    <mergeCell ref="G33:H33"/>
    <mergeCell ref="J33:K33"/>
    <mergeCell ref="M33:N33"/>
    <mergeCell ref="G39:H39"/>
    <mergeCell ref="J39:K39"/>
    <mergeCell ref="M39:N39"/>
    <mergeCell ref="G40:H40"/>
    <mergeCell ref="J40:K40"/>
    <mergeCell ref="M40:N40"/>
    <mergeCell ref="G36:H36"/>
    <mergeCell ref="J36:K36"/>
    <mergeCell ref="M36:N36"/>
    <mergeCell ref="G38:H38"/>
    <mergeCell ref="J38:K38"/>
    <mergeCell ref="M38:N38"/>
    <mergeCell ref="G51:H51"/>
    <mergeCell ref="J51:K51"/>
    <mergeCell ref="M51:N51"/>
    <mergeCell ref="G52:H52"/>
    <mergeCell ref="J52:K52"/>
    <mergeCell ref="M52:N52"/>
    <mergeCell ref="G41:H41"/>
    <mergeCell ref="J41:K41"/>
    <mergeCell ref="M41:N41"/>
    <mergeCell ref="G43:H43"/>
    <mergeCell ref="J43:K43"/>
    <mergeCell ref="M43:N43"/>
    <mergeCell ref="G59:H59"/>
    <mergeCell ref="J59:K59"/>
    <mergeCell ref="M59:N59"/>
    <mergeCell ref="G44:H44"/>
    <mergeCell ref="J44:K44"/>
    <mergeCell ref="M44:N44"/>
    <mergeCell ref="G57:H57"/>
    <mergeCell ref="J57:K57"/>
    <mergeCell ref="M57:N57"/>
    <mergeCell ref="G58:H58"/>
    <mergeCell ref="J58:K58"/>
    <mergeCell ref="M58:N58"/>
    <mergeCell ref="G55:H55"/>
    <mergeCell ref="J55:K55"/>
    <mergeCell ref="M55:N55"/>
    <mergeCell ref="G56:H56"/>
    <mergeCell ref="J56:K56"/>
    <mergeCell ref="M56:N56"/>
    <mergeCell ref="G53:H53"/>
    <mergeCell ref="J53:K53"/>
    <mergeCell ref="M53:N53"/>
    <mergeCell ref="G54:H54"/>
    <mergeCell ref="J54:K54"/>
    <mergeCell ref="M54:N54"/>
  </mergeCells>
  <printOptions/>
  <pageMargins left="0.25" right="0.25" top="0.75" bottom="0.75" header="0.3" footer="0.3"/>
  <pageSetup fitToHeight="1" fitToWidth="1" horizontalDpi="1200" verticalDpi="1200" orientation="portrait" scale="94" r:id="rId3"/>
  <colBreaks count="1" manualBreakCount="1">
    <brk id="14" max="16383"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28"/>
  <sheetViews>
    <sheetView workbookViewId="0" topLeftCell="C106">
      <selection activeCell="J46" sqref="J46"/>
    </sheetView>
  </sheetViews>
  <sheetFormatPr defaultColWidth="8.875" defaultRowHeight="11.25"/>
  <cols>
    <col min="1" max="1" width="8.875" style="229" customWidth="1"/>
    <col min="2" max="2" width="23.125" style="229" customWidth="1"/>
    <col min="3" max="3" width="27.125" style="229" customWidth="1"/>
    <col min="4" max="4" width="13.875" style="229" customWidth="1"/>
    <col min="5" max="5" width="13.25390625" style="229" customWidth="1"/>
    <col min="6" max="6" width="17.375" style="229" customWidth="1"/>
    <col min="7" max="7" width="14.875" style="229" customWidth="1"/>
    <col min="8" max="9" width="13.875" style="229" customWidth="1"/>
    <col min="10" max="10" width="27.875" style="229" customWidth="1"/>
    <col min="11" max="16384" width="8.875" style="229" customWidth="1"/>
  </cols>
  <sheetData>
    <row r="1" ht="11.25">
      <c r="B1" s="228" t="s">
        <v>597</v>
      </c>
    </row>
    <row r="2" ht="11.25">
      <c r="B2" s="228" t="s">
        <v>598</v>
      </c>
    </row>
    <row r="4" spans="2:3" ht="14.25">
      <c r="B4" s="228" t="s">
        <v>599</v>
      </c>
      <c r="C4" s="228" t="s">
        <v>600</v>
      </c>
    </row>
    <row r="5" ht="14.25">
      <c r="L5" s="253" t="s">
        <v>663</v>
      </c>
    </row>
    <row r="6" spans="2:12" ht="14.25">
      <c r="B6" s="230" t="s">
        <v>601</v>
      </c>
      <c r="C6" s="231" t="s">
        <v>15</v>
      </c>
      <c r="D6" s="232" t="s">
        <v>602</v>
      </c>
      <c r="E6" s="232" t="s">
        <v>603</v>
      </c>
      <c r="F6" s="232" t="s">
        <v>604</v>
      </c>
      <c r="G6" s="232" t="s">
        <v>605</v>
      </c>
      <c r="H6" s="232" t="s">
        <v>606</v>
      </c>
      <c r="I6" s="272"/>
      <c r="J6" s="253" t="s">
        <v>661</v>
      </c>
      <c r="K6" s="254">
        <f>SUM(H9:H124)</f>
        <v>5640</v>
      </c>
      <c r="L6" s="253">
        <f>COUNT(H9:H124)</f>
        <v>116</v>
      </c>
    </row>
    <row r="7" spans="2:12" ht="14.25">
      <c r="B7" s="233" t="s">
        <v>601</v>
      </c>
      <c r="C7" s="234" t="s">
        <v>607</v>
      </c>
      <c r="D7" s="235" t="s">
        <v>608</v>
      </c>
      <c r="E7" s="235" t="s">
        <v>608</v>
      </c>
      <c r="F7" s="235" t="s">
        <v>608</v>
      </c>
      <c r="G7" s="235" t="s">
        <v>608</v>
      </c>
      <c r="H7" s="235" t="s">
        <v>608</v>
      </c>
      <c r="I7" s="273"/>
      <c r="J7" s="253" t="s">
        <v>662</v>
      </c>
      <c r="K7" s="254">
        <f>SUMIF(H9:H124,"&gt;29")</f>
        <v>4939</v>
      </c>
      <c r="L7" s="253">
        <f>COUNTIF(H9:H124,"&gt;29")</f>
        <v>49</v>
      </c>
    </row>
    <row r="8" spans="2:12" ht="15" thickBot="1">
      <c r="B8" s="236" t="s">
        <v>609</v>
      </c>
      <c r="C8" s="237" t="s">
        <v>610</v>
      </c>
      <c r="D8" s="232" t="s">
        <v>602</v>
      </c>
      <c r="E8" s="232" t="s">
        <v>603</v>
      </c>
      <c r="F8" s="232" t="s">
        <v>604</v>
      </c>
      <c r="G8" s="232" t="s">
        <v>605</v>
      </c>
      <c r="H8" s="232" t="s">
        <v>606</v>
      </c>
      <c r="I8" s="272"/>
      <c r="J8" s="253" t="s">
        <v>664</v>
      </c>
      <c r="K8" s="255">
        <f>K7/K6</f>
        <v>0.875709219858156</v>
      </c>
      <c r="L8" s="255">
        <f>L7/L6</f>
        <v>0.4224137931034483</v>
      </c>
    </row>
    <row r="9" spans="1:9" ht="14.25">
      <c r="A9" s="229">
        <v>1</v>
      </c>
      <c r="B9" s="238" t="s">
        <v>611</v>
      </c>
      <c r="C9" s="239" t="s">
        <v>411</v>
      </c>
      <c r="D9" s="240">
        <v>309</v>
      </c>
      <c r="E9" s="240">
        <v>262</v>
      </c>
      <c r="F9" s="240">
        <v>292</v>
      </c>
      <c r="G9" s="240">
        <v>279</v>
      </c>
      <c r="H9" s="240">
        <v>303</v>
      </c>
      <c r="I9" s="275">
        <f>H9/H$125</f>
        <v>0.05372340425531915</v>
      </c>
    </row>
    <row r="10" spans="1:12" ht="14.25">
      <c r="A10" s="229">
        <f>A9+1</f>
        <v>2</v>
      </c>
      <c r="B10" s="238" t="s">
        <v>612</v>
      </c>
      <c r="C10" s="239" t="s">
        <v>205</v>
      </c>
      <c r="D10" s="240">
        <v>387</v>
      </c>
      <c r="E10" s="240">
        <v>325</v>
      </c>
      <c r="F10" s="240">
        <v>320</v>
      </c>
      <c r="G10" s="240">
        <v>326</v>
      </c>
      <c r="H10" s="240">
        <v>287</v>
      </c>
      <c r="I10" s="275">
        <f aca="true" t="shared" si="0" ref="I10:I73">H10/H$125</f>
        <v>0.05088652482269503</v>
      </c>
      <c r="J10" s="253" t="s">
        <v>661</v>
      </c>
      <c r="K10" s="254">
        <f>SUM(H9:H124)</f>
        <v>5640</v>
      </c>
      <c r="L10" s="253">
        <f>COUNT(H9:H124)</f>
        <v>116</v>
      </c>
    </row>
    <row r="11" spans="1:12" ht="14.25">
      <c r="A11" s="229">
        <f aca="true" t="shared" si="1" ref="A11:A74">A10+1</f>
        <v>3</v>
      </c>
      <c r="B11" s="238" t="s">
        <v>611</v>
      </c>
      <c r="C11" s="239" t="s">
        <v>103</v>
      </c>
      <c r="D11" s="240">
        <v>330</v>
      </c>
      <c r="E11" s="240">
        <v>315</v>
      </c>
      <c r="F11" s="240">
        <v>320</v>
      </c>
      <c r="G11" s="240">
        <v>290</v>
      </c>
      <c r="H11" s="240">
        <v>275</v>
      </c>
      <c r="I11" s="275">
        <f t="shared" si="0"/>
        <v>0.04875886524822695</v>
      </c>
      <c r="J11" s="253" t="s">
        <v>665</v>
      </c>
      <c r="K11" s="254">
        <f>SUMIF(H9:H124,"&gt;19")</f>
        <v>5330</v>
      </c>
      <c r="L11" s="253">
        <f>COUNTIF(H9:H124,"&gt;19")</f>
        <v>65</v>
      </c>
    </row>
    <row r="12" spans="1:12" ht="14.25">
      <c r="A12" s="229">
        <f t="shared" si="1"/>
        <v>4</v>
      </c>
      <c r="B12" s="238" t="s">
        <v>611</v>
      </c>
      <c r="C12" s="239" t="s">
        <v>458</v>
      </c>
      <c r="D12" s="240">
        <v>196</v>
      </c>
      <c r="E12" s="240">
        <v>196</v>
      </c>
      <c r="F12" s="240">
        <v>205</v>
      </c>
      <c r="G12" s="240">
        <v>237</v>
      </c>
      <c r="H12" s="240">
        <v>217</v>
      </c>
      <c r="I12" s="275">
        <f t="shared" si="0"/>
        <v>0.03847517730496454</v>
      </c>
      <c r="J12" s="253" t="s">
        <v>664</v>
      </c>
      <c r="K12" s="255">
        <f>K11/K10</f>
        <v>0.9450354609929078</v>
      </c>
      <c r="L12" s="255">
        <f>L11/L10</f>
        <v>0.5603448275862069</v>
      </c>
    </row>
    <row r="13" spans="1:9" ht="14.25">
      <c r="A13" s="229">
        <f t="shared" si="1"/>
        <v>5</v>
      </c>
      <c r="B13" s="238" t="s">
        <v>612</v>
      </c>
      <c r="C13" s="239" t="s">
        <v>234</v>
      </c>
      <c r="D13" s="240">
        <v>284</v>
      </c>
      <c r="E13" s="240">
        <v>256</v>
      </c>
      <c r="F13" s="240">
        <v>226</v>
      </c>
      <c r="G13" s="240">
        <v>223</v>
      </c>
      <c r="H13" s="240">
        <v>216</v>
      </c>
      <c r="I13" s="275">
        <f t="shared" si="0"/>
        <v>0.03829787234042553</v>
      </c>
    </row>
    <row r="14" spans="1:12" ht="14.25">
      <c r="A14" s="229">
        <f t="shared" si="1"/>
        <v>6</v>
      </c>
      <c r="B14" s="238" t="s">
        <v>611</v>
      </c>
      <c r="C14" s="239" t="s">
        <v>112</v>
      </c>
      <c r="D14" s="240">
        <v>255</v>
      </c>
      <c r="E14" s="240">
        <v>227</v>
      </c>
      <c r="F14" s="240">
        <v>206</v>
      </c>
      <c r="G14" s="240">
        <v>221</v>
      </c>
      <c r="H14" s="240">
        <v>188</v>
      </c>
      <c r="I14" s="275">
        <f t="shared" si="0"/>
        <v>0.03333333333333333</v>
      </c>
      <c r="J14" s="253" t="s">
        <v>661</v>
      </c>
      <c r="K14" s="254">
        <f>SUM(H9:H124)</f>
        <v>5640</v>
      </c>
      <c r="L14" s="253">
        <f>COUNT(H9:H124)</f>
        <v>116</v>
      </c>
    </row>
    <row r="15" spans="1:12" ht="14.25">
      <c r="A15" s="229">
        <f t="shared" si="1"/>
        <v>7</v>
      </c>
      <c r="B15" s="238" t="s">
        <v>613</v>
      </c>
      <c r="C15" s="239" t="s">
        <v>347</v>
      </c>
      <c r="D15" s="240">
        <v>246</v>
      </c>
      <c r="E15" s="240">
        <v>225</v>
      </c>
      <c r="F15" s="240">
        <v>205</v>
      </c>
      <c r="G15" s="240">
        <v>179</v>
      </c>
      <c r="H15" s="240">
        <v>182</v>
      </c>
      <c r="I15" s="275">
        <f t="shared" si="0"/>
        <v>0.03226950354609929</v>
      </c>
      <c r="J15" s="253" t="s">
        <v>681</v>
      </c>
      <c r="K15" s="254">
        <f>SUMIF(H9:H124,"&gt;14")</f>
        <v>5377</v>
      </c>
      <c r="L15" s="253">
        <f>COUNTIF(H9:H124,"&gt;14")</f>
        <v>68</v>
      </c>
    </row>
    <row r="16" spans="1:12" ht="14.25">
      <c r="A16" s="229">
        <f t="shared" si="1"/>
        <v>8</v>
      </c>
      <c r="B16" s="238" t="s">
        <v>614</v>
      </c>
      <c r="C16" s="239" t="s">
        <v>236</v>
      </c>
      <c r="D16" s="240">
        <v>140</v>
      </c>
      <c r="E16" s="240">
        <v>116</v>
      </c>
      <c r="F16" s="240">
        <v>105</v>
      </c>
      <c r="G16" s="240">
        <v>95</v>
      </c>
      <c r="H16" s="240">
        <v>180</v>
      </c>
      <c r="I16" s="275">
        <f t="shared" si="0"/>
        <v>0.031914893617021274</v>
      </c>
      <c r="J16" s="253" t="s">
        <v>664</v>
      </c>
      <c r="K16" s="255">
        <f>K15/K14</f>
        <v>0.9533687943262411</v>
      </c>
      <c r="L16" s="255">
        <f>L15/L14</f>
        <v>0.5862068965517241</v>
      </c>
    </row>
    <row r="17" spans="1:9" ht="14.25">
      <c r="A17" s="229">
        <f t="shared" si="1"/>
        <v>9</v>
      </c>
      <c r="B17" s="238" t="s">
        <v>613</v>
      </c>
      <c r="C17" s="239" t="s">
        <v>253</v>
      </c>
      <c r="D17" s="240">
        <v>181</v>
      </c>
      <c r="E17" s="240">
        <v>181</v>
      </c>
      <c r="F17" s="240">
        <v>188</v>
      </c>
      <c r="G17" s="240">
        <v>189</v>
      </c>
      <c r="H17" s="240">
        <v>178</v>
      </c>
      <c r="I17" s="275">
        <f t="shared" si="0"/>
        <v>0.03156028368794326</v>
      </c>
    </row>
    <row r="18" spans="1:12" ht="14.25">
      <c r="A18" s="229">
        <f t="shared" si="1"/>
        <v>10</v>
      </c>
      <c r="B18" s="238" t="s">
        <v>612</v>
      </c>
      <c r="C18" s="239" t="s">
        <v>450</v>
      </c>
      <c r="D18" s="240">
        <v>162</v>
      </c>
      <c r="E18" s="240">
        <v>151</v>
      </c>
      <c r="F18" s="240">
        <v>126</v>
      </c>
      <c r="G18" s="240">
        <v>178</v>
      </c>
      <c r="H18" s="240">
        <v>177</v>
      </c>
      <c r="I18" s="275">
        <f t="shared" si="0"/>
        <v>0.03138297872340425</v>
      </c>
      <c r="J18" s="253" t="s">
        <v>661</v>
      </c>
      <c r="K18" s="254">
        <f>SUM(H9:H124)</f>
        <v>5640</v>
      </c>
      <c r="L18" s="253">
        <f>COUNT(H9:H124)</f>
        <v>116</v>
      </c>
    </row>
    <row r="19" spans="1:12" ht="11.25">
      <c r="A19" s="229">
        <f t="shared" si="1"/>
        <v>11</v>
      </c>
      <c r="B19" s="238" t="s">
        <v>613</v>
      </c>
      <c r="C19" s="239" t="s">
        <v>430</v>
      </c>
      <c r="D19" s="240">
        <v>161</v>
      </c>
      <c r="E19" s="240">
        <v>154</v>
      </c>
      <c r="F19" s="240">
        <v>154</v>
      </c>
      <c r="G19" s="240">
        <v>142</v>
      </c>
      <c r="H19" s="240">
        <v>152</v>
      </c>
      <c r="I19" s="275">
        <f t="shared" si="0"/>
        <v>0.02695035460992908</v>
      </c>
      <c r="J19" s="253" t="s">
        <v>680</v>
      </c>
      <c r="K19" s="254">
        <f>SUMIF(H9:H124,"&gt;9")</f>
        <v>5493</v>
      </c>
      <c r="L19" s="253">
        <f>COUNTIF(H9:H124,"&gt;9")</f>
        <v>78</v>
      </c>
    </row>
    <row r="20" spans="1:12" ht="11.25">
      <c r="A20" s="229">
        <f t="shared" si="1"/>
        <v>12</v>
      </c>
      <c r="B20" s="238" t="s">
        <v>611</v>
      </c>
      <c r="C20" s="239" t="s">
        <v>395</v>
      </c>
      <c r="D20" s="240">
        <v>91</v>
      </c>
      <c r="E20" s="240">
        <v>106</v>
      </c>
      <c r="F20" s="240">
        <v>144</v>
      </c>
      <c r="G20" s="240">
        <v>143</v>
      </c>
      <c r="H20" s="240">
        <v>149</v>
      </c>
      <c r="I20" s="275">
        <f t="shared" si="0"/>
        <v>0.026418439716312057</v>
      </c>
      <c r="J20" s="253" t="s">
        <v>664</v>
      </c>
      <c r="K20" s="255">
        <f>K19/K18</f>
        <v>0.9739361702127659</v>
      </c>
      <c r="L20" s="255">
        <f>L19/L18</f>
        <v>0.6724137931034483</v>
      </c>
    </row>
    <row r="21" spans="1:9" ht="11.25">
      <c r="A21" s="229">
        <f t="shared" si="1"/>
        <v>13</v>
      </c>
      <c r="B21" s="238" t="s">
        <v>611</v>
      </c>
      <c r="C21" s="239" t="s">
        <v>265</v>
      </c>
      <c r="D21" s="240">
        <v>78</v>
      </c>
      <c r="E21" s="240">
        <v>94</v>
      </c>
      <c r="F21" s="240">
        <v>110</v>
      </c>
      <c r="G21" s="240">
        <v>115</v>
      </c>
      <c r="H21" s="240">
        <v>149</v>
      </c>
      <c r="I21" s="275">
        <f t="shared" si="0"/>
        <v>0.026418439716312057</v>
      </c>
    </row>
    <row r="22" spans="1:9" ht="11.25">
      <c r="A22" s="229">
        <f t="shared" si="1"/>
        <v>14</v>
      </c>
      <c r="B22" s="238" t="s">
        <v>612</v>
      </c>
      <c r="C22" s="239" t="s">
        <v>445</v>
      </c>
      <c r="D22" s="240">
        <v>164</v>
      </c>
      <c r="E22" s="240">
        <v>164</v>
      </c>
      <c r="F22" s="240">
        <v>156</v>
      </c>
      <c r="G22" s="240">
        <v>153</v>
      </c>
      <c r="H22" s="240">
        <v>140</v>
      </c>
      <c r="I22" s="275">
        <f t="shared" si="0"/>
        <v>0.024822695035460994</v>
      </c>
    </row>
    <row r="23" spans="1:9" ht="11.25">
      <c r="A23" s="229">
        <f t="shared" si="1"/>
        <v>15</v>
      </c>
      <c r="B23" s="238" t="s">
        <v>615</v>
      </c>
      <c r="C23" s="239" t="s">
        <v>399</v>
      </c>
      <c r="D23" s="240">
        <v>154</v>
      </c>
      <c r="E23" s="240">
        <v>139</v>
      </c>
      <c r="F23" s="240">
        <v>169</v>
      </c>
      <c r="G23" s="240">
        <v>141</v>
      </c>
      <c r="H23" s="240">
        <v>137</v>
      </c>
      <c r="I23" s="275">
        <f t="shared" si="0"/>
        <v>0.024290780141843972</v>
      </c>
    </row>
    <row r="24" spans="1:9" ht="11.25">
      <c r="A24" s="229">
        <f t="shared" si="1"/>
        <v>16</v>
      </c>
      <c r="B24" s="238" t="s">
        <v>613</v>
      </c>
      <c r="C24" s="239" t="s">
        <v>367</v>
      </c>
      <c r="D24" s="240">
        <v>171</v>
      </c>
      <c r="E24" s="240">
        <v>150</v>
      </c>
      <c r="F24" s="240">
        <v>171</v>
      </c>
      <c r="G24" s="240">
        <v>143</v>
      </c>
      <c r="H24" s="240">
        <v>134</v>
      </c>
      <c r="I24" s="275">
        <f t="shared" si="0"/>
        <v>0.02375886524822695</v>
      </c>
    </row>
    <row r="25" spans="1:9" ht="11.25">
      <c r="A25" s="229">
        <f t="shared" si="1"/>
        <v>17</v>
      </c>
      <c r="B25" s="238" t="s">
        <v>616</v>
      </c>
      <c r="C25" s="239" t="s">
        <v>356</v>
      </c>
      <c r="D25" s="240">
        <v>8</v>
      </c>
      <c r="E25" s="240">
        <v>84</v>
      </c>
      <c r="F25" s="240">
        <v>132</v>
      </c>
      <c r="G25" s="240">
        <v>115</v>
      </c>
      <c r="H25" s="240">
        <v>111</v>
      </c>
      <c r="I25" s="275">
        <f t="shared" si="0"/>
        <v>0.019680851063829788</v>
      </c>
    </row>
    <row r="26" spans="1:9" ht="11.25">
      <c r="A26" s="229">
        <f t="shared" si="1"/>
        <v>18</v>
      </c>
      <c r="B26" s="238" t="s">
        <v>617</v>
      </c>
      <c r="C26" s="239" t="s">
        <v>112</v>
      </c>
      <c r="D26" s="240">
        <v>13</v>
      </c>
      <c r="E26" s="240">
        <v>43</v>
      </c>
      <c r="F26" s="240">
        <v>63</v>
      </c>
      <c r="G26" s="240">
        <v>82</v>
      </c>
      <c r="H26" s="240">
        <v>98</v>
      </c>
      <c r="I26" s="275">
        <f t="shared" si="0"/>
        <v>0.017375886524822696</v>
      </c>
    </row>
    <row r="27" spans="1:9" ht="11.25">
      <c r="A27" s="229">
        <f t="shared" si="1"/>
        <v>19</v>
      </c>
      <c r="B27" s="238" t="s">
        <v>611</v>
      </c>
      <c r="C27" s="239" t="s">
        <v>121</v>
      </c>
      <c r="D27" s="240">
        <v>128</v>
      </c>
      <c r="E27" s="240">
        <v>112</v>
      </c>
      <c r="F27" s="240">
        <v>123</v>
      </c>
      <c r="G27" s="240">
        <v>119</v>
      </c>
      <c r="H27" s="240">
        <v>92</v>
      </c>
      <c r="I27" s="275">
        <f t="shared" si="0"/>
        <v>0.016312056737588652</v>
      </c>
    </row>
    <row r="28" spans="1:9" ht="11.25">
      <c r="A28" s="229">
        <f t="shared" si="1"/>
        <v>20</v>
      </c>
      <c r="B28" s="238" t="s">
        <v>613</v>
      </c>
      <c r="C28" s="239" t="s">
        <v>240</v>
      </c>
      <c r="D28" s="240">
        <v>133</v>
      </c>
      <c r="E28" s="240">
        <v>112</v>
      </c>
      <c r="F28" s="240">
        <v>99</v>
      </c>
      <c r="G28" s="240">
        <v>82</v>
      </c>
      <c r="H28" s="240">
        <v>81</v>
      </c>
      <c r="I28" s="275">
        <f t="shared" si="0"/>
        <v>0.014361702127659574</v>
      </c>
    </row>
    <row r="29" spans="1:12" ht="11.25">
      <c r="A29" s="229">
        <f t="shared" si="1"/>
        <v>21</v>
      </c>
      <c r="B29" s="238" t="s">
        <v>613</v>
      </c>
      <c r="C29" s="239" t="s">
        <v>108</v>
      </c>
      <c r="D29" s="240">
        <v>85</v>
      </c>
      <c r="E29" s="240">
        <v>100</v>
      </c>
      <c r="F29" s="240">
        <v>78</v>
      </c>
      <c r="G29" s="240">
        <v>77</v>
      </c>
      <c r="H29" s="240">
        <v>75</v>
      </c>
      <c r="I29" s="275">
        <f t="shared" si="0"/>
        <v>0.013297872340425532</v>
      </c>
      <c r="J29" s="276">
        <f>SUM(I9:I29)</f>
        <v>0.6242907801418438</v>
      </c>
      <c r="L29" s="276">
        <f>21/116</f>
        <v>0.1810344827586207</v>
      </c>
    </row>
    <row r="30" spans="1:12" ht="11.25">
      <c r="A30" s="229">
        <f t="shared" si="1"/>
        <v>22</v>
      </c>
      <c r="B30" s="238" t="s">
        <v>613</v>
      </c>
      <c r="C30" s="239" t="s">
        <v>246</v>
      </c>
      <c r="D30" s="240">
        <v>58</v>
      </c>
      <c r="E30" s="240">
        <v>76</v>
      </c>
      <c r="F30" s="240">
        <v>66</v>
      </c>
      <c r="G30" s="240">
        <v>53</v>
      </c>
      <c r="H30" s="240">
        <v>71</v>
      </c>
      <c r="I30" s="275">
        <f t="shared" si="0"/>
        <v>0.012588652482269504</v>
      </c>
      <c r="L30" s="276"/>
    </row>
    <row r="31" spans="1:12" ht="11.25">
      <c r="A31" s="229">
        <f t="shared" si="1"/>
        <v>23</v>
      </c>
      <c r="B31" s="238" t="s">
        <v>613</v>
      </c>
      <c r="C31" s="239" t="s">
        <v>248</v>
      </c>
      <c r="D31" s="240">
        <v>54</v>
      </c>
      <c r="E31" s="240">
        <v>60</v>
      </c>
      <c r="F31" s="240">
        <v>66</v>
      </c>
      <c r="G31" s="240">
        <v>73</v>
      </c>
      <c r="H31" s="240">
        <v>70</v>
      </c>
      <c r="I31" s="275">
        <f t="shared" si="0"/>
        <v>0.012411347517730497</v>
      </c>
      <c r="L31" s="276"/>
    </row>
    <row r="32" spans="1:12" ht="11.25">
      <c r="A32" s="229">
        <f t="shared" si="1"/>
        <v>24</v>
      </c>
      <c r="B32" s="238" t="s">
        <v>616</v>
      </c>
      <c r="C32" s="239" t="s">
        <v>294</v>
      </c>
      <c r="D32" s="240">
        <v>87</v>
      </c>
      <c r="E32" s="240">
        <v>55</v>
      </c>
      <c r="F32" s="240">
        <v>32</v>
      </c>
      <c r="G32" s="240">
        <v>55</v>
      </c>
      <c r="H32" s="240">
        <v>69</v>
      </c>
      <c r="I32" s="275">
        <f t="shared" si="0"/>
        <v>0.01223404255319149</v>
      </c>
      <c r="L32" s="276"/>
    </row>
    <row r="33" spans="1:12" ht="11.25">
      <c r="A33" s="229">
        <f t="shared" si="1"/>
        <v>25</v>
      </c>
      <c r="B33" s="238" t="s">
        <v>612</v>
      </c>
      <c r="C33" s="239" t="s">
        <v>480</v>
      </c>
      <c r="D33" s="240">
        <v>100</v>
      </c>
      <c r="E33" s="240">
        <v>77</v>
      </c>
      <c r="F33" s="240">
        <v>56</v>
      </c>
      <c r="G33" s="240">
        <v>72</v>
      </c>
      <c r="H33" s="240">
        <v>65</v>
      </c>
      <c r="I33" s="275">
        <f t="shared" si="0"/>
        <v>0.01152482269503546</v>
      </c>
      <c r="L33" s="276"/>
    </row>
    <row r="34" spans="1:12" ht="11.25">
      <c r="A34" s="229">
        <f t="shared" si="1"/>
        <v>26</v>
      </c>
      <c r="B34" s="238" t="s">
        <v>616</v>
      </c>
      <c r="C34" s="239" t="s">
        <v>425</v>
      </c>
      <c r="D34" s="240">
        <v>75</v>
      </c>
      <c r="E34" s="240">
        <v>82</v>
      </c>
      <c r="F34" s="240">
        <v>67</v>
      </c>
      <c r="G34" s="240">
        <v>65</v>
      </c>
      <c r="H34" s="240">
        <v>64</v>
      </c>
      <c r="I34" s="275">
        <f t="shared" si="0"/>
        <v>0.011347517730496455</v>
      </c>
      <c r="L34" s="276"/>
    </row>
    <row r="35" spans="1:12" ht="11.25">
      <c r="A35" s="229">
        <f t="shared" si="1"/>
        <v>27</v>
      </c>
      <c r="B35" s="238" t="s">
        <v>611</v>
      </c>
      <c r="C35" s="239" t="s">
        <v>416</v>
      </c>
      <c r="D35" s="240">
        <v>39</v>
      </c>
      <c r="E35" s="240">
        <v>41</v>
      </c>
      <c r="F35" s="240">
        <v>69</v>
      </c>
      <c r="G35" s="240">
        <v>49</v>
      </c>
      <c r="H35" s="240">
        <v>64</v>
      </c>
      <c r="I35" s="275">
        <f t="shared" si="0"/>
        <v>0.011347517730496455</v>
      </c>
      <c r="L35" s="276"/>
    </row>
    <row r="36" spans="1:12" ht="11.25">
      <c r="A36" s="229">
        <f t="shared" si="1"/>
        <v>28</v>
      </c>
      <c r="B36" s="238" t="s">
        <v>611</v>
      </c>
      <c r="C36" s="239" t="s">
        <v>284</v>
      </c>
      <c r="D36" s="240">
        <v>60</v>
      </c>
      <c r="E36" s="240">
        <v>53</v>
      </c>
      <c r="F36" s="240">
        <v>61</v>
      </c>
      <c r="G36" s="240">
        <v>57</v>
      </c>
      <c r="H36" s="240">
        <v>63</v>
      </c>
      <c r="I36" s="275">
        <f t="shared" si="0"/>
        <v>0.011170212765957447</v>
      </c>
      <c r="L36" s="276"/>
    </row>
    <row r="37" spans="1:12" ht="11.25">
      <c r="A37" s="229">
        <f t="shared" si="1"/>
        <v>29</v>
      </c>
      <c r="B37" s="238" t="s">
        <v>616</v>
      </c>
      <c r="C37" s="239" t="s">
        <v>345</v>
      </c>
      <c r="D37" s="240">
        <v>52</v>
      </c>
      <c r="E37" s="240">
        <v>43</v>
      </c>
      <c r="F37" s="240">
        <v>41</v>
      </c>
      <c r="G37" s="240">
        <v>47</v>
      </c>
      <c r="H37" s="240">
        <v>58</v>
      </c>
      <c r="I37" s="275">
        <f t="shared" si="0"/>
        <v>0.01028368794326241</v>
      </c>
      <c r="L37" s="276"/>
    </row>
    <row r="38" spans="1:12" ht="11.25">
      <c r="A38" s="229">
        <f t="shared" si="1"/>
        <v>30</v>
      </c>
      <c r="B38" s="238" t="s">
        <v>611</v>
      </c>
      <c r="C38" s="239" t="s">
        <v>394</v>
      </c>
      <c r="D38" s="240">
        <v>0</v>
      </c>
      <c r="E38" s="240">
        <v>0</v>
      </c>
      <c r="F38" s="240">
        <v>0</v>
      </c>
      <c r="G38" s="240">
        <v>0</v>
      </c>
      <c r="H38" s="240">
        <v>58</v>
      </c>
      <c r="I38" s="275">
        <f t="shared" si="0"/>
        <v>0.01028368794326241</v>
      </c>
      <c r="L38" s="276"/>
    </row>
    <row r="39" spans="1:12" ht="11.25">
      <c r="A39" s="229">
        <f t="shared" si="1"/>
        <v>31</v>
      </c>
      <c r="B39" s="238" t="s">
        <v>616</v>
      </c>
      <c r="C39" s="239" t="s">
        <v>476</v>
      </c>
      <c r="D39" s="240">
        <v>74</v>
      </c>
      <c r="E39" s="240">
        <v>62</v>
      </c>
      <c r="F39" s="240">
        <v>51</v>
      </c>
      <c r="G39" s="240">
        <v>52</v>
      </c>
      <c r="H39" s="240">
        <v>57</v>
      </c>
      <c r="I39" s="275">
        <f t="shared" si="0"/>
        <v>0.010106382978723405</v>
      </c>
      <c r="L39" s="276"/>
    </row>
    <row r="40" spans="1:12" ht="11.25">
      <c r="A40" s="229">
        <f t="shared" si="1"/>
        <v>32</v>
      </c>
      <c r="B40" s="238" t="s">
        <v>616</v>
      </c>
      <c r="C40" s="239" t="s">
        <v>462</v>
      </c>
      <c r="D40" s="240">
        <v>53</v>
      </c>
      <c r="E40" s="240">
        <v>47</v>
      </c>
      <c r="F40" s="240">
        <v>45</v>
      </c>
      <c r="G40" s="240">
        <v>52</v>
      </c>
      <c r="H40" s="240">
        <v>56</v>
      </c>
      <c r="I40" s="275">
        <f t="shared" si="0"/>
        <v>0.009929078014184398</v>
      </c>
      <c r="L40" s="276"/>
    </row>
    <row r="41" spans="1:12" ht="11.25">
      <c r="A41" s="229">
        <f t="shared" si="1"/>
        <v>33</v>
      </c>
      <c r="B41" s="238" t="s">
        <v>616</v>
      </c>
      <c r="C41" s="239" t="s">
        <v>364</v>
      </c>
      <c r="D41" s="240">
        <v>112</v>
      </c>
      <c r="E41" s="240">
        <v>75</v>
      </c>
      <c r="F41" s="240">
        <v>31</v>
      </c>
      <c r="G41" s="240">
        <v>31</v>
      </c>
      <c r="H41" s="240">
        <v>54</v>
      </c>
      <c r="I41" s="275">
        <f t="shared" si="0"/>
        <v>0.009574468085106383</v>
      </c>
      <c r="J41" s="276">
        <f>SUM(I9:I41)</f>
        <v>0.7570921985815601</v>
      </c>
      <c r="L41" s="276">
        <f>33/116</f>
        <v>0.28448275862068967</v>
      </c>
    </row>
    <row r="42" spans="1:12" ht="11.25">
      <c r="A42" s="229">
        <f t="shared" si="1"/>
        <v>34</v>
      </c>
      <c r="B42" s="238" t="s">
        <v>613</v>
      </c>
      <c r="C42" s="239" t="s">
        <v>280</v>
      </c>
      <c r="D42" s="240">
        <v>66</v>
      </c>
      <c r="E42" s="240">
        <v>82</v>
      </c>
      <c r="F42" s="240">
        <v>61</v>
      </c>
      <c r="G42" s="240">
        <v>58</v>
      </c>
      <c r="H42" s="240">
        <v>52</v>
      </c>
      <c r="I42" s="275">
        <f t="shared" si="0"/>
        <v>0.009219858156028368</v>
      </c>
      <c r="L42" s="276"/>
    </row>
    <row r="43" spans="1:12" ht="11.25">
      <c r="A43" s="229">
        <f t="shared" si="1"/>
        <v>35</v>
      </c>
      <c r="B43" s="238" t="s">
        <v>611</v>
      </c>
      <c r="C43" s="239" t="s">
        <v>407</v>
      </c>
      <c r="D43" s="240">
        <v>0</v>
      </c>
      <c r="E43" s="240">
        <v>0</v>
      </c>
      <c r="F43" s="240">
        <v>0</v>
      </c>
      <c r="G43" s="240">
        <v>2</v>
      </c>
      <c r="H43" s="240">
        <v>51</v>
      </c>
      <c r="I43" s="275">
        <f t="shared" si="0"/>
        <v>0.009042553191489361</v>
      </c>
      <c r="L43" s="276"/>
    </row>
    <row r="44" spans="1:12" ht="11.25">
      <c r="A44" s="229">
        <f t="shared" si="1"/>
        <v>36</v>
      </c>
      <c r="B44" s="238" t="s">
        <v>613</v>
      </c>
      <c r="C44" s="239" t="s">
        <v>412</v>
      </c>
      <c r="D44" s="240">
        <v>77</v>
      </c>
      <c r="E44" s="240">
        <v>51</v>
      </c>
      <c r="F44" s="240">
        <v>45</v>
      </c>
      <c r="G44" s="240">
        <v>67</v>
      </c>
      <c r="H44" s="240">
        <v>50</v>
      </c>
      <c r="I44" s="275">
        <f t="shared" si="0"/>
        <v>0.008865248226950355</v>
      </c>
      <c r="L44" s="276"/>
    </row>
    <row r="45" spans="1:12" ht="11.25">
      <c r="A45" s="229">
        <f t="shared" si="1"/>
        <v>37</v>
      </c>
      <c r="B45" s="238" t="s">
        <v>611</v>
      </c>
      <c r="C45" s="239" t="s">
        <v>269</v>
      </c>
      <c r="D45" s="240">
        <v>40</v>
      </c>
      <c r="E45" s="240">
        <v>44</v>
      </c>
      <c r="F45" s="240">
        <v>55</v>
      </c>
      <c r="G45" s="240">
        <v>52</v>
      </c>
      <c r="H45" s="240">
        <v>50</v>
      </c>
      <c r="I45" s="275">
        <f t="shared" si="0"/>
        <v>0.008865248226950355</v>
      </c>
      <c r="L45" s="276"/>
    </row>
    <row r="46" spans="1:12" ht="11.25">
      <c r="A46" s="229">
        <f t="shared" si="1"/>
        <v>38</v>
      </c>
      <c r="B46" s="238" t="s">
        <v>613</v>
      </c>
      <c r="C46" s="239" t="s">
        <v>434</v>
      </c>
      <c r="D46" s="240">
        <v>34</v>
      </c>
      <c r="E46" s="240">
        <v>48</v>
      </c>
      <c r="F46" s="240">
        <v>60</v>
      </c>
      <c r="G46" s="240">
        <v>63</v>
      </c>
      <c r="H46" s="240">
        <v>48</v>
      </c>
      <c r="I46" s="275">
        <f t="shared" si="0"/>
        <v>0.00851063829787234</v>
      </c>
      <c r="J46" s="276">
        <f>SUM(I9:I46)</f>
        <v>0.8015957446808508</v>
      </c>
      <c r="L46" s="276">
        <f>38/116</f>
        <v>0.3275862068965517</v>
      </c>
    </row>
    <row r="47" spans="1:12" ht="11.25">
      <c r="A47" s="229">
        <f t="shared" si="1"/>
        <v>39</v>
      </c>
      <c r="B47" s="238" t="s">
        <v>613</v>
      </c>
      <c r="C47" s="239" t="s">
        <v>196</v>
      </c>
      <c r="D47" s="240">
        <v>34</v>
      </c>
      <c r="E47" s="240">
        <v>41</v>
      </c>
      <c r="F47" s="240">
        <v>50</v>
      </c>
      <c r="G47" s="240">
        <v>52</v>
      </c>
      <c r="H47" s="240">
        <v>47</v>
      </c>
      <c r="I47" s="275">
        <f t="shared" si="0"/>
        <v>0.008333333333333333</v>
      </c>
      <c r="L47" s="276"/>
    </row>
    <row r="48" spans="1:9" ht="11.25">
      <c r="A48" s="229">
        <f t="shared" si="1"/>
        <v>40</v>
      </c>
      <c r="B48" s="238" t="s">
        <v>611</v>
      </c>
      <c r="C48" s="239" t="s">
        <v>618</v>
      </c>
      <c r="D48" s="240">
        <v>72</v>
      </c>
      <c r="E48" s="240">
        <v>71</v>
      </c>
      <c r="F48" s="240">
        <v>109</v>
      </c>
      <c r="G48" s="240">
        <v>128</v>
      </c>
      <c r="H48" s="240">
        <v>47</v>
      </c>
      <c r="I48" s="275">
        <f t="shared" si="0"/>
        <v>0.008333333333333333</v>
      </c>
    </row>
    <row r="49" spans="1:9" ht="11.25">
      <c r="A49" s="229">
        <f t="shared" si="1"/>
        <v>41</v>
      </c>
      <c r="B49" s="238" t="s">
        <v>613</v>
      </c>
      <c r="C49" s="239" t="s">
        <v>372</v>
      </c>
      <c r="D49" s="240">
        <v>31</v>
      </c>
      <c r="E49" s="240">
        <v>31</v>
      </c>
      <c r="F49" s="240">
        <v>30</v>
      </c>
      <c r="G49" s="240">
        <v>37</v>
      </c>
      <c r="H49" s="240">
        <v>43</v>
      </c>
      <c r="I49" s="275">
        <f t="shared" si="0"/>
        <v>0.007624113475177305</v>
      </c>
    </row>
    <row r="50" spans="1:9" ht="11.25">
      <c r="A50" s="229">
        <f t="shared" si="1"/>
        <v>42</v>
      </c>
      <c r="B50" s="238" t="s">
        <v>611</v>
      </c>
      <c r="C50" s="239" t="s">
        <v>285</v>
      </c>
      <c r="D50" s="240">
        <v>2</v>
      </c>
      <c r="E50" s="240">
        <v>24</v>
      </c>
      <c r="F50" s="240">
        <v>27</v>
      </c>
      <c r="G50" s="240">
        <v>44</v>
      </c>
      <c r="H50" s="240">
        <v>38</v>
      </c>
      <c r="I50" s="275">
        <f t="shared" si="0"/>
        <v>0.00673758865248227</v>
      </c>
    </row>
    <row r="51" spans="1:9" ht="11.25">
      <c r="A51" s="229">
        <f t="shared" si="1"/>
        <v>43</v>
      </c>
      <c r="B51" s="241" t="s">
        <v>619</v>
      </c>
      <c r="C51" s="239" t="s">
        <v>357</v>
      </c>
      <c r="D51" s="240">
        <v>0</v>
      </c>
      <c r="E51" s="240">
        <v>0</v>
      </c>
      <c r="F51" s="240">
        <v>0</v>
      </c>
      <c r="G51" s="240">
        <v>23</v>
      </c>
      <c r="H51" s="240">
        <v>36</v>
      </c>
      <c r="I51" s="275">
        <f t="shared" si="0"/>
        <v>0.006382978723404255</v>
      </c>
    </row>
    <row r="52" spans="1:9" ht="11.25">
      <c r="A52" s="229">
        <f t="shared" si="1"/>
        <v>44</v>
      </c>
      <c r="B52" s="238" t="s">
        <v>611</v>
      </c>
      <c r="C52" s="239" t="s">
        <v>479</v>
      </c>
      <c r="D52" s="240">
        <v>0</v>
      </c>
      <c r="E52" s="240">
        <v>0</v>
      </c>
      <c r="F52" s="240">
        <v>2</v>
      </c>
      <c r="G52" s="240">
        <v>20</v>
      </c>
      <c r="H52" s="240">
        <v>36</v>
      </c>
      <c r="I52" s="275">
        <f t="shared" si="0"/>
        <v>0.006382978723404255</v>
      </c>
    </row>
    <row r="53" spans="1:9" ht="11.25">
      <c r="A53" s="229">
        <f t="shared" si="1"/>
        <v>45</v>
      </c>
      <c r="B53" s="238" t="s">
        <v>612</v>
      </c>
      <c r="C53" s="239" t="s">
        <v>259</v>
      </c>
      <c r="D53" s="240">
        <v>0</v>
      </c>
      <c r="E53" s="240">
        <v>1</v>
      </c>
      <c r="F53" s="240">
        <v>23</v>
      </c>
      <c r="G53" s="240">
        <v>21</v>
      </c>
      <c r="H53" s="240">
        <v>35</v>
      </c>
      <c r="I53" s="275">
        <f t="shared" si="0"/>
        <v>0.0062056737588652485</v>
      </c>
    </row>
    <row r="54" spans="1:9" ht="11.25">
      <c r="A54" s="229">
        <f t="shared" si="1"/>
        <v>46</v>
      </c>
      <c r="B54" s="238" t="s">
        <v>613</v>
      </c>
      <c r="C54" s="239" t="s">
        <v>334</v>
      </c>
      <c r="D54" s="240">
        <v>18</v>
      </c>
      <c r="E54" s="240">
        <v>27</v>
      </c>
      <c r="F54" s="240">
        <v>23</v>
      </c>
      <c r="G54" s="240">
        <v>30</v>
      </c>
      <c r="H54" s="240">
        <v>35</v>
      </c>
      <c r="I54" s="275">
        <f t="shared" si="0"/>
        <v>0.0062056737588652485</v>
      </c>
    </row>
    <row r="55" spans="1:9" ht="11.25">
      <c r="A55" s="229">
        <f t="shared" si="1"/>
        <v>47</v>
      </c>
      <c r="B55" s="238" t="s">
        <v>613</v>
      </c>
      <c r="C55" s="239" t="s">
        <v>245</v>
      </c>
      <c r="D55" s="240">
        <v>22</v>
      </c>
      <c r="E55" s="240">
        <v>23</v>
      </c>
      <c r="F55" s="240">
        <v>26</v>
      </c>
      <c r="G55" s="240">
        <v>24</v>
      </c>
      <c r="H55" s="240">
        <v>35</v>
      </c>
      <c r="I55" s="275">
        <f t="shared" si="0"/>
        <v>0.0062056737588652485</v>
      </c>
    </row>
    <row r="56" spans="1:9" ht="11.25">
      <c r="A56" s="229">
        <f t="shared" si="1"/>
        <v>48</v>
      </c>
      <c r="B56" s="238" t="s">
        <v>613</v>
      </c>
      <c r="C56" s="239" t="s">
        <v>420</v>
      </c>
      <c r="D56" s="240">
        <v>0</v>
      </c>
      <c r="E56" s="240">
        <v>0</v>
      </c>
      <c r="F56" s="240">
        <v>0</v>
      </c>
      <c r="G56" s="240">
        <v>8</v>
      </c>
      <c r="H56" s="240">
        <v>34</v>
      </c>
      <c r="I56" s="275">
        <f t="shared" si="0"/>
        <v>0.006028368794326241</v>
      </c>
    </row>
    <row r="57" spans="1:9" ht="11.25">
      <c r="A57" s="229">
        <f t="shared" si="1"/>
        <v>49</v>
      </c>
      <c r="B57" s="238" t="s">
        <v>620</v>
      </c>
      <c r="C57" s="239" t="s">
        <v>162</v>
      </c>
      <c r="D57" s="240">
        <v>34</v>
      </c>
      <c r="E57" s="240">
        <v>39</v>
      </c>
      <c r="F57" s="240">
        <v>28</v>
      </c>
      <c r="G57" s="240">
        <v>33</v>
      </c>
      <c r="H57" s="240">
        <v>32</v>
      </c>
      <c r="I57" s="275">
        <f t="shared" si="0"/>
        <v>0.005673758865248227</v>
      </c>
    </row>
    <row r="58" spans="1:9" ht="11.25">
      <c r="A58" s="229">
        <f t="shared" si="1"/>
        <v>50</v>
      </c>
      <c r="B58" s="238" t="s">
        <v>613</v>
      </c>
      <c r="C58" s="239" t="s">
        <v>140</v>
      </c>
      <c r="D58" s="240">
        <v>16</v>
      </c>
      <c r="E58" s="240">
        <v>29</v>
      </c>
      <c r="F58" s="240">
        <v>26</v>
      </c>
      <c r="G58" s="240">
        <v>20</v>
      </c>
      <c r="H58" s="240">
        <v>29</v>
      </c>
      <c r="I58" s="275">
        <f t="shared" si="0"/>
        <v>0.005141843971631205</v>
      </c>
    </row>
    <row r="59" spans="1:9" ht="11.25">
      <c r="A59" s="229">
        <f t="shared" si="1"/>
        <v>51</v>
      </c>
      <c r="B59" s="238" t="s">
        <v>613</v>
      </c>
      <c r="C59" s="239" t="s">
        <v>469</v>
      </c>
      <c r="D59" s="240">
        <v>54</v>
      </c>
      <c r="E59" s="240">
        <v>50</v>
      </c>
      <c r="F59" s="240">
        <v>39</v>
      </c>
      <c r="G59" s="240">
        <v>31</v>
      </c>
      <c r="H59" s="240">
        <v>29</v>
      </c>
      <c r="I59" s="275">
        <f t="shared" si="0"/>
        <v>0.005141843971631205</v>
      </c>
    </row>
    <row r="60" spans="1:9" ht="11.25">
      <c r="A60" s="229">
        <f t="shared" si="1"/>
        <v>52</v>
      </c>
      <c r="B60" s="238" t="s">
        <v>616</v>
      </c>
      <c r="C60" s="239" t="s">
        <v>377</v>
      </c>
      <c r="D60" s="240">
        <v>70</v>
      </c>
      <c r="E60" s="240">
        <v>48</v>
      </c>
      <c r="F60" s="240">
        <v>46</v>
      </c>
      <c r="G60" s="240">
        <v>35</v>
      </c>
      <c r="H60" s="240">
        <v>29</v>
      </c>
      <c r="I60" s="275">
        <f t="shared" si="0"/>
        <v>0.005141843971631205</v>
      </c>
    </row>
    <row r="61" spans="1:9" ht="11.25">
      <c r="A61" s="229">
        <f t="shared" si="1"/>
        <v>53</v>
      </c>
      <c r="B61" s="238" t="s">
        <v>613</v>
      </c>
      <c r="C61" s="239" t="s">
        <v>365</v>
      </c>
      <c r="D61" s="240">
        <v>50</v>
      </c>
      <c r="E61" s="240">
        <v>46</v>
      </c>
      <c r="F61" s="240">
        <v>47</v>
      </c>
      <c r="G61" s="240">
        <v>35</v>
      </c>
      <c r="H61" s="240">
        <v>28</v>
      </c>
      <c r="I61" s="275">
        <f t="shared" si="0"/>
        <v>0.004964539007092199</v>
      </c>
    </row>
    <row r="62" spans="1:9" ht="11.25">
      <c r="A62" s="229">
        <f t="shared" si="1"/>
        <v>54</v>
      </c>
      <c r="B62" s="238" t="s">
        <v>613</v>
      </c>
      <c r="C62" s="239" t="s">
        <v>465</v>
      </c>
      <c r="D62" s="240">
        <v>22</v>
      </c>
      <c r="E62" s="240">
        <v>26</v>
      </c>
      <c r="F62" s="240">
        <v>18</v>
      </c>
      <c r="G62" s="240">
        <v>23</v>
      </c>
      <c r="H62" s="240">
        <v>26</v>
      </c>
      <c r="I62" s="275">
        <f t="shared" si="0"/>
        <v>0.004609929078014184</v>
      </c>
    </row>
    <row r="63" spans="1:9" ht="11.25">
      <c r="A63" s="229">
        <f t="shared" si="1"/>
        <v>55</v>
      </c>
      <c r="B63" s="238" t="s">
        <v>613</v>
      </c>
      <c r="C63" s="239" t="s">
        <v>446</v>
      </c>
      <c r="D63" s="240">
        <v>31</v>
      </c>
      <c r="E63" s="240">
        <v>21</v>
      </c>
      <c r="F63" s="240">
        <v>22</v>
      </c>
      <c r="G63" s="240">
        <v>27</v>
      </c>
      <c r="H63" s="240">
        <v>25</v>
      </c>
      <c r="I63" s="275">
        <f t="shared" si="0"/>
        <v>0.004432624113475178</v>
      </c>
    </row>
    <row r="64" spans="1:9" ht="11.25">
      <c r="A64" s="229">
        <f t="shared" si="1"/>
        <v>56</v>
      </c>
      <c r="B64" s="238" t="s">
        <v>612</v>
      </c>
      <c r="C64" s="239" t="s">
        <v>270</v>
      </c>
      <c r="D64" s="240">
        <v>1</v>
      </c>
      <c r="E64" s="240">
        <v>25</v>
      </c>
      <c r="F64" s="240">
        <v>26</v>
      </c>
      <c r="G64" s="240">
        <v>18</v>
      </c>
      <c r="H64" s="240">
        <v>24</v>
      </c>
      <c r="I64" s="275">
        <f t="shared" si="0"/>
        <v>0.00425531914893617</v>
      </c>
    </row>
    <row r="65" spans="1:9" ht="11.25">
      <c r="A65" s="229">
        <f t="shared" si="1"/>
        <v>57</v>
      </c>
      <c r="B65" s="238" t="s">
        <v>611</v>
      </c>
      <c r="C65" s="239" t="s">
        <v>193</v>
      </c>
      <c r="D65" s="240">
        <v>20</v>
      </c>
      <c r="E65" s="240">
        <v>23</v>
      </c>
      <c r="F65" s="240">
        <v>25</v>
      </c>
      <c r="G65" s="240">
        <v>25</v>
      </c>
      <c r="H65" s="240">
        <v>24</v>
      </c>
      <c r="I65" s="275">
        <f t="shared" si="0"/>
        <v>0.00425531914893617</v>
      </c>
    </row>
    <row r="66" spans="1:9" ht="11.25">
      <c r="A66" s="229">
        <f t="shared" si="1"/>
        <v>58</v>
      </c>
      <c r="B66" s="238" t="s">
        <v>611</v>
      </c>
      <c r="C66" s="239" t="s">
        <v>135</v>
      </c>
      <c r="D66" s="240">
        <v>45</v>
      </c>
      <c r="E66" s="240">
        <v>40</v>
      </c>
      <c r="F66" s="240">
        <v>30</v>
      </c>
      <c r="G66" s="240">
        <v>23</v>
      </c>
      <c r="H66" s="240">
        <v>24</v>
      </c>
      <c r="I66" s="275">
        <f t="shared" si="0"/>
        <v>0.00425531914893617</v>
      </c>
    </row>
    <row r="67" spans="1:9" ht="11.25">
      <c r="A67" s="229">
        <f t="shared" si="1"/>
        <v>59</v>
      </c>
      <c r="B67" s="238" t="s">
        <v>613</v>
      </c>
      <c r="C67" s="239" t="s">
        <v>128</v>
      </c>
      <c r="D67" s="240">
        <v>33</v>
      </c>
      <c r="E67" s="240">
        <v>41</v>
      </c>
      <c r="F67" s="240">
        <v>38</v>
      </c>
      <c r="G67" s="240">
        <v>28</v>
      </c>
      <c r="H67" s="240">
        <v>23</v>
      </c>
      <c r="I67" s="275">
        <f t="shared" si="0"/>
        <v>0.004078014184397163</v>
      </c>
    </row>
    <row r="68" spans="1:9" ht="11.25">
      <c r="A68" s="229">
        <f t="shared" si="1"/>
        <v>60</v>
      </c>
      <c r="B68" s="238" t="s">
        <v>613</v>
      </c>
      <c r="C68" s="239" t="s">
        <v>378</v>
      </c>
      <c r="D68" s="240">
        <v>27</v>
      </c>
      <c r="E68" s="240">
        <v>25</v>
      </c>
      <c r="F68" s="240">
        <v>33</v>
      </c>
      <c r="G68" s="240">
        <v>30</v>
      </c>
      <c r="H68" s="240">
        <v>23</v>
      </c>
      <c r="I68" s="275">
        <f t="shared" si="0"/>
        <v>0.004078014184397163</v>
      </c>
    </row>
    <row r="69" spans="1:9" ht="11.25">
      <c r="A69" s="229">
        <f t="shared" si="1"/>
        <v>61</v>
      </c>
      <c r="B69" s="238" t="s">
        <v>613</v>
      </c>
      <c r="C69" s="239" t="s">
        <v>304</v>
      </c>
      <c r="D69" s="240">
        <v>15</v>
      </c>
      <c r="E69" s="240">
        <v>25</v>
      </c>
      <c r="F69" s="240">
        <v>19</v>
      </c>
      <c r="G69" s="240">
        <v>23</v>
      </c>
      <c r="H69" s="240">
        <v>23</v>
      </c>
      <c r="I69" s="275">
        <f t="shared" si="0"/>
        <v>0.004078014184397163</v>
      </c>
    </row>
    <row r="70" spans="1:9" ht="11.25">
      <c r="A70" s="229">
        <f t="shared" si="1"/>
        <v>62</v>
      </c>
      <c r="B70" s="238" t="s">
        <v>613</v>
      </c>
      <c r="C70" s="239" t="s">
        <v>439</v>
      </c>
      <c r="D70" s="240">
        <v>18</v>
      </c>
      <c r="E70" s="240">
        <v>19</v>
      </c>
      <c r="F70" s="240">
        <v>16</v>
      </c>
      <c r="G70" s="240">
        <v>20</v>
      </c>
      <c r="H70" s="240">
        <v>22</v>
      </c>
      <c r="I70" s="275">
        <f t="shared" si="0"/>
        <v>0.003900709219858156</v>
      </c>
    </row>
    <row r="71" spans="1:9" ht="11.25">
      <c r="A71" s="229">
        <f t="shared" si="1"/>
        <v>63</v>
      </c>
      <c r="B71" s="238" t="s">
        <v>611</v>
      </c>
      <c r="C71" s="239" t="s">
        <v>359</v>
      </c>
      <c r="D71" s="240">
        <v>6</v>
      </c>
      <c r="E71" s="240">
        <v>6</v>
      </c>
      <c r="F71" s="240">
        <v>12</v>
      </c>
      <c r="G71" s="240">
        <v>21</v>
      </c>
      <c r="H71" s="240">
        <v>22</v>
      </c>
      <c r="I71" s="275">
        <f t="shared" si="0"/>
        <v>0.003900709219858156</v>
      </c>
    </row>
    <row r="72" spans="1:9" ht="11.25">
      <c r="A72" s="229">
        <f t="shared" si="1"/>
        <v>64</v>
      </c>
      <c r="B72" s="238" t="s">
        <v>613</v>
      </c>
      <c r="C72" s="239" t="s">
        <v>303</v>
      </c>
      <c r="D72" s="240">
        <v>0</v>
      </c>
      <c r="E72" s="240">
        <v>0</v>
      </c>
      <c r="F72" s="240">
        <v>14</v>
      </c>
      <c r="G72" s="240">
        <v>26</v>
      </c>
      <c r="H72" s="240">
        <v>20</v>
      </c>
      <c r="I72" s="275">
        <f t="shared" si="0"/>
        <v>0.0035460992907801418</v>
      </c>
    </row>
    <row r="73" spans="1:9" s="242" customFormat="1" ht="11.25">
      <c r="A73" s="229">
        <f t="shared" si="1"/>
        <v>65</v>
      </c>
      <c r="B73" s="238" t="s">
        <v>613</v>
      </c>
      <c r="C73" s="239" t="s">
        <v>473</v>
      </c>
      <c r="D73" s="240">
        <v>52</v>
      </c>
      <c r="E73" s="240">
        <v>48</v>
      </c>
      <c r="F73" s="240">
        <v>40</v>
      </c>
      <c r="G73" s="240">
        <v>28</v>
      </c>
      <c r="H73" s="240">
        <v>20</v>
      </c>
      <c r="I73" s="275">
        <f t="shared" si="0"/>
        <v>0.0035460992907801418</v>
      </c>
    </row>
    <row r="74" spans="1:9" ht="11.25">
      <c r="A74" s="229">
        <f t="shared" si="1"/>
        <v>66</v>
      </c>
      <c r="B74" s="238" t="s">
        <v>612</v>
      </c>
      <c r="C74" s="239" t="s">
        <v>477</v>
      </c>
      <c r="D74" s="240">
        <v>0</v>
      </c>
      <c r="E74" s="240">
        <v>0</v>
      </c>
      <c r="F74" s="240">
        <v>4</v>
      </c>
      <c r="G74" s="240">
        <v>14</v>
      </c>
      <c r="H74" s="240">
        <v>16</v>
      </c>
      <c r="I74" s="275">
        <f aca="true" t="shared" si="2" ref="I74:I124">H74/H$125</f>
        <v>0.0028368794326241137</v>
      </c>
    </row>
    <row r="75" spans="1:9" ht="11.25">
      <c r="A75" s="229">
        <f aca="true" t="shared" si="3" ref="A75:A124">A74+1</f>
        <v>67</v>
      </c>
      <c r="B75" s="238" t="s">
        <v>616</v>
      </c>
      <c r="C75" s="239" t="s">
        <v>286</v>
      </c>
      <c r="D75" s="240">
        <v>1</v>
      </c>
      <c r="E75" s="240">
        <v>9</v>
      </c>
      <c r="F75" s="240">
        <v>22</v>
      </c>
      <c r="G75" s="240">
        <v>21</v>
      </c>
      <c r="H75" s="240">
        <v>16</v>
      </c>
      <c r="I75" s="275">
        <f t="shared" si="2"/>
        <v>0.0028368794326241137</v>
      </c>
    </row>
    <row r="76" spans="1:9" ht="11.25">
      <c r="A76" s="229">
        <f t="shared" si="3"/>
        <v>68</v>
      </c>
      <c r="B76" s="238" t="s">
        <v>613</v>
      </c>
      <c r="C76" s="239" t="s">
        <v>475</v>
      </c>
      <c r="D76" s="240">
        <v>22</v>
      </c>
      <c r="E76" s="240">
        <v>17</v>
      </c>
      <c r="F76" s="240">
        <v>22</v>
      </c>
      <c r="G76" s="240">
        <v>20</v>
      </c>
      <c r="H76" s="240">
        <v>15</v>
      </c>
      <c r="I76" s="275">
        <f t="shared" si="2"/>
        <v>0.0026595744680851063</v>
      </c>
    </row>
    <row r="77" spans="1:9" ht="11.25">
      <c r="A77" s="229">
        <f t="shared" si="3"/>
        <v>69</v>
      </c>
      <c r="B77" s="238" t="s">
        <v>612</v>
      </c>
      <c r="C77" s="239" t="s">
        <v>264</v>
      </c>
      <c r="D77" s="240">
        <v>0</v>
      </c>
      <c r="E77" s="240">
        <v>0</v>
      </c>
      <c r="F77" s="240">
        <v>1</v>
      </c>
      <c r="G77" s="240">
        <v>2</v>
      </c>
      <c r="H77" s="240">
        <v>13</v>
      </c>
      <c r="I77" s="275">
        <f t="shared" si="2"/>
        <v>0.002304964539007092</v>
      </c>
    </row>
    <row r="78" spans="1:9" ht="11.25">
      <c r="A78" s="229">
        <f t="shared" si="3"/>
        <v>70</v>
      </c>
      <c r="B78" s="238" t="s">
        <v>613</v>
      </c>
      <c r="C78" s="239" t="s">
        <v>130</v>
      </c>
      <c r="D78" s="240">
        <v>24</v>
      </c>
      <c r="E78" s="240">
        <v>23</v>
      </c>
      <c r="F78" s="240">
        <v>17</v>
      </c>
      <c r="G78" s="240">
        <v>18</v>
      </c>
      <c r="H78" s="240">
        <v>13</v>
      </c>
      <c r="I78" s="275">
        <f t="shared" si="2"/>
        <v>0.002304964539007092</v>
      </c>
    </row>
    <row r="79" spans="1:9" ht="11.25">
      <c r="A79" s="229">
        <f t="shared" si="3"/>
        <v>71</v>
      </c>
      <c r="B79" s="238" t="s">
        <v>613</v>
      </c>
      <c r="C79" s="239" t="s">
        <v>193</v>
      </c>
      <c r="D79" s="240">
        <v>20</v>
      </c>
      <c r="E79" s="240">
        <v>20</v>
      </c>
      <c r="F79" s="240">
        <v>23</v>
      </c>
      <c r="G79" s="240">
        <v>27</v>
      </c>
      <c r="H79" s="240">
        <v>12</v>
      </c>
      <c r="I79" s="275">
        <f t="shared" si="2"/>
        <v>0.002127659574468085</v>
      </c>
    </row>
    <row r="80" spans="1:9" ht="11.25">
      <c r="A80" s="229">
        <f t="shared" si="3"/>
        <v>72</v>
      </c>
      <c r="B80" s="238" t="s">
        <v>613</v>
      </c>
      <c r="C80" s="239" t="s">
        <v>150</v>
      </c>
      <c r="D80" s="240">
        <v>14</v>
      </c>
      <c r="E80" s="240">
        <v>19</v>
      </c>
      <c r="F80" s="240">
        <v>24</v>
      </c>
      <c r="G80" s="240">
        <v>12</v>
      </c>
      <c r="H80" s="240">
        <v>12</v>
      </c>
      <c r="I80" s="275">
        <f t="shared" si="2"/>
        <v>0.002127659574468085</v>
      </c>
    </row>
    <row r="81" spans="1:9" ht="11.25">
      <c r="A81" s="229">
        <f t="shared" si="3"/>
        <v>73</v>
      </c>
      <c r="B81" s="238" t="s">
        <v>613</v>
      </c>
      <c r="C81" s="239" t="s">
        <v>161</v>
      </c>
      <c r="D81" s="240">
        <v>9</v>
      </c>
      <c r="E81" s="240">
        <v>9</v>
      </c>
      <c r="F81" s="240">
        <v>9</v>
      </c>
      <c r="G81" s="240">
        <v>8</v>
      </c>
      <c r="H81" s="240">
        <v>12</v>
      </c>
      <c r="I81" s="275">
        <f t="shared" si="2"/>
        <v>0.002127659574468085</v>
      </c>
    </row>
    <row r="82" spans="1:9" ht="11.25">
      <c r="A82" s="229">
        <f t="shared" si="3"/>
        <v>74</v>
      </c>
      <c r="B82" s="238" t="s">
        <v>611</v>
      </c>
      <c r="C82" s="239" t="s">
        <v>150</v>
      </c>
      <c r="D82" s="240">
        <v>2</v>
      </c>
      <c r="E82" s="240">
        <v>7</v>
      </c>
      <c r="F82" s="240">
        <v>9</v>
      </c>
      <c r="G82" s="240">
        <v>13</v>
      </c>
      <c r="H82" s="240">
        <v>12</v>
      </c>
      <c r="I82" s="275">
        <f t="shared" si="2"/>
        <v>0.002127659574468085</v>
      </c>
    </row>
    <row r="83" spans="1:9" ht="11.25">
      <c r="A83" s="229">
        <f t="shared" si="3"/>
        <v>75</v>
      </c>
      <c r="B83" s="238" t="s">
        <v>613</v>
      </c>
      <c r="C83" s="239" t="s">
        <v>162</v>
      </c>
      <c r="D83" s="240">
        <v>8</v>
      </c>
      <c r="E83" s="240">
        <v>11</v>
      </c>
      <c r="F83" s="240">
        <v>5</v>
      </c>
      <c r="G83" s="240">
        <v>6</v>
      </c>
      <c r="H83" s="240">
        <v>11</v>
      </c>
      <c r="I83" s="275">
        <f t="shared" si="2"/>
        <v>0.001950354609929078</v>
      </c>
    </row>
    <row r="84" spans="1:9" ht="11.25">
      <c r="A84" s="229">
        <f t="shared" si="3"/>
        <v>76</v>
      </c>
      <c r="B84" s="238" t="s">
        <v>616</v>
      </c>
      <c r="C84" s="239" t="s">
        <v>263</v>
      </c>
      <c r="D84" s="240">
        <v>20</v>
      </c>
      <c r="E84" s="240">
        <v>17</v>
      </c>
      <c r="F84" s="240">
        <v>17</v>
      </c>
      <c r="G84" s="240">
        <v>14</v>
      </c>
      <c r="H84" s="240">
        <v>11</v>
      </c>
      <c r="I84" s="275">
        <f t="shared" si="2"/>
        <v>0.001950354609929078</v>
      </c>
    </row>
    <row r="85" spans="1:9" ht="11.25">
      <c r="A85" s="229">
        <f t="shared" si="3"/>
        <v>77</v>
      </c>
      <c r="B85" s="238" t="s">
        <v>613</v>
      </c>
      <c r="C85" s="239" t="s">
        <v>241</v>
      </c>
      <c r="D85" s="240">
        <v>27</v>
      </c>
      <c r="E85" s="240">
        <v>20</v>
      </c>
      <c r="F85" s="240">
        <v>10</v>
      </c>
      <c r="G85" s="240">
        <v>10</v>
      </c>
      <c r="H85" s="240">
        <v>10</v>
      </c>
      <c r="I85" s="275">
        <f t="shared" si="2"/>
        <v>0.0017730496453900709</v>
      </c>
    </row>
    <row r="86" spans="1:9" ht="11.25">
      <c r="A86" s="229">
        <f t="shared" si="3"/>
        <v>78</v>
      </c>
      <c r="B86" s="238" t="s">
        <v>613</v>
      </c>
      <c r="C86" s="239" t="s">
        <v>328</v>
      </c>
      <c r="D86" s="240">
        <v>14</v>
      </c>
      <c r="E86" s="240">
        <v>11</v>
      </c>
      <c r="F86" s="240">
        <v>15</v>
      </c>
      <c r="G86" s="240">
        <v>9</v>
      </c>
      <c r="H86" s="240">
        <v>10</v>
      </c>
      <c r="I86" s="275">
        <f t="shared" si="2"/>
        <v>0.0017730496453900709</v>
      </c>
    </row>
    <row r="87" spans="1:9" ht="11.25">
      <c r="A87" s="229">
        <f t="shared" si="3"/>
        <v>79</v>
      </c>
      <c r="B87" s="238" t="s">
        <v>613</v>
      </c>
      <c r="C87" s="239" t="s">
        <v>239</v>
      </c>
      <c r="D87" s="240">
        <v>7</v>
      </c>
      <c r="E87" s="240">
        <v>3</v>
      </c>
      <c r="F87" s="240">
        <v>1</v>
      </c>
      <c r="G87" s="240">
        <v>3</v>
      </c>
      <c r="H87" s="240">
        <v>9</v>
      </c>
      <c r="I87" s="275">
        <f t="shared" si="2"/>
        <v>0.0015957446808510637</v>
      </c>
    </row>
    <row r="88" spans="1:9" ht="11.25">
      <c r="A88" s="229">
        <f t="shared" si="3"/>
        <v>80</v>
      </c>
      <c r="B88" s="238" t="s">
        <v>613</v>
      </c>
      <c r="C88" s="239" t="s">
        <v>382</v>
      </c>
      <c r="D88" s="240">
        <v>7</v>
      </c>
      <c r="E88" s="240">
        <v>7</v>
      </c>
      <c r="F88" s="240">
        <v>8</v>
      </c>
      <c r="G88" s="240">
        <v>9</v>
      </c>
      <c r="H88" s="240">
        <v>9</v>
      </c>
      <c r="I88" s="275">
        <f t="shared" si="2"/>
        <v>0.0015957446808510637</v>
      </c>
    </row>
    <row r="89" spans="1:9" s="242" customFormat="1" ht="11.25">
      <c r="A89" s="229">
        <f t="shared" si="3"/>
        <v>81</v>
      </c>
      <c r="B89" s="238" t="s">
        <v>616</v>
      </c>
      <c r="C89" s="239" t="s">
        <v>357</v>
      </c>
      <c r="D89" s="240">
        <v>41</v>
      </c>
      <c r="E89" s="240">
        <v>37</v>
      </c>
      <c r="F89" s="240">
        <v>34</v>
      </c>
      <c r="G89" s="240">
        <v>20</v>
      </c>
      <c r="H89" s="240">
        <v>9</v>
      </c>
      <c r="I89" s="275">
        <f t="shared" si="2"/>
        <v>0.0015957446808510637</v>
      </c>
    </row>
    <row r="90" spans="1:9" s="242" customFormat="1" ht="11.25">
      <c r="A90" s="229">
        <f t="shared" si="3"/>
        <v>82</v>
      </c>
      <c r="B90" s="238" t="s">
        <v>616</v>
      </c>
      <c r="C90" s="239" t="s">
        <v>339</v>
      </c>
      <c r="D90" s="240">
        <v>23</v>
      </c>
      <c r="E90" s="240">
        <v>25</v>
      </c>
      <c r="F90" s="240">
        <v>19</v>
      </c>
      <c r="G90" s="240">
        <v>18</v>
      </c>
      <c r="H90" s="240">
        <v>9</v>
      </c>
      <c r="I90" s="275">
        <f t="shared" si="2"/>
        <v>0.0015957446808510637</v>
      </c>
    </row>
    <row r="91" spans="1:9" s="242" customFormat="1" ht="11.25">
      <c r="A91" s="229">
        <f t="shared" si="3"/>
        <v>83</v>
      </c>
      <c r="B91" s="238" t="s">
        <v>616</v>
      </c>
      <c r="C91" s="239" t="s">
        <v>252</v>
      </c>
      <c r="D91" s="240">
        <v>17</v>
      </c>
      <c r="E91" s="240">
        <v>11</v>
      </c>
      <c r="F91" s="240">
        <v>10</v>
      </c>
      <c r="G91" s="240">
        <v>11</v>
      </c>
      <c r="H91" s="240">
        <v>9</v>
      </c>
      <c r="I91" s="275">
        <f t="shared" si="2"/>
        <v>0.0015957446808510637</v>
      </c>
    </row>
    <row r="92" spans="1:9" s="242" customFormat="1" ht="11.25">
      <c r="A92" s="229">
        <f t="shared" si="3"/>
        <v>84</v>
      </c>
      <c r="B92" s="238" t="s">
        <v>611</v>
      </c>
      <c r="C92" s="239" t="s">
        <v>451</v>
      </c>
      <c r="D92" s="240">
        <v>41</v>
      </c>
      <c r="E92" s="240">
        <v>43</v>
      </c>
      <c r="F92" s="240">
        <v>35</v>
      </c>
      <c r="G92" s="240">
        <v>16</v>
      </c>
      <c r="H92" s="240">
        <v>9</v>
      </c>
      <c r="I92" s="275">
        <f t="shared" si="2"/>
        <v>0.0015957446808510637</v>
      </c>
    </row>
    <row r="93" spans="1:9" ht="11.25">
      <c r="A93" s="229">
        <f t="shared" si="3"/>
        <v>85</v>
      </c>
      <c r="B93" s="238" t="s">
        <v>611</v>
      </c>
      <c r="C93" s="239" t="s">
        <v>168</v>
      </c>
      <c r="D93" s="240">
        <v>13</v>
      </c>
      <c r="E93" s="240">
        <v>12</v>
      </c>
      <c r="F93" s="240">
        <v>9</v>
      </c>
      <c r="G93" s="240">
        <v>9</v>
      </c>
      <c r="H93" s="240">
        <v>9</v>
      </c>
      <c r="I93" s="275">
        <f t="shared" si="2"/>
        <v>0.0015957446808510637</v>
      </c>
    </row>
    <row r="94" spans="1:9" ht="11.25">
      <c r="A94" s="229">
        <f t="shared" si="3"/>
        <v>86</v>
      </c>
      <c r="B94" s="238" t="s">
        <v>613</v>
      </c>
      <c r="C94" s="239" t="s">
        <v>346</v>
      </c>
      <c r="D94" s="240">
        <v>12</v>
      </c>
      <c r="E94" s="240">
        <v>8</v>
      </c>
      <c r="F94" s="240">
        <v>11</v>
      </c>
      <c r="G94" s="240">
        <v>8</v>
      </c>
      <c r="H94" s="240">
        <v>8</v>
      </c>
      <c r="I94" s="275">
        <f t="shared" si="2"/>
        <v>0.0014184397163120568</v>
      </c>
    </row>
    <row r="95" spans="1:9" ht="11.25">
      <c r="A95" s="229">
        <f t="shared" si="3"/>
        <v>87</v>
      </c>
      <c r="B95" s="238" t="s">
        <v>613</v>
      </c>
      <c r="C95" s="239" t="s">
        <v>284</v>
      </c>
      <c r="D95" s="240">
        <v>4</v>
      </c>
      <c r="E95" s="240">
        <v>2</v>
      </c>
      <c r="F95" s="240">
        <v>2</v>
      </c>
      <c r="G95" s="240">
        <v>3</v>
      </c>
      <c r="H95" s="240">
        <v>7</v>
      </c>
      <c r="I95" s="275">
        <f t="shared" si="2"/>
        <v>0.0012411347517730497</v>
      </c>
    </row>
    <row r="96" spans="1:9" ht="11.25">
      <c r="A96" s="229">
        <f t="shared" si="3"/>
        <v>88</v>
      </c>
      <c r="B96" s="238" t="s">
        <v>613</v>
      </c>
      <c r="C96" s="239" t="s">
        <v>429</v>
      </c>
      <c r="D96" s="240">
        <v>12</v>
      </c>
      <c r="E96" s="240">
        <v>10</v>
      </c>
      <c r="F96" s="240">
        <v>14</v>
      </c>
      <c r="G96" s="240">
        <v>13</v>
      </c>
      <c r="H96" s="240">
        <v>7</v>
      </c>
      <c r="I96" s="275">
        <f t="shared" si="2"/>
        <v>0.0012411347517730497</v>
      </c>
    </row>
    <row r="97" spans="1:9" ht="11.25">
      <c r="A97" s="229">
        <f t="shared" si="3"/>
        <v>89</v>
      </c>
      <c r="B97" s="238" t="s">
        <v>613</v>
      </c>
      <c r="C97" s="239" t="s">
        <v>391</v>
      </c>
      <c r="D97" s="240">
        <v>18</v>
      </c>
      <c r="E97" s="240">
        <v>14</v>
      </c>
      <c r="F97" s="240">
        <v>12</v>
      </c>
      <c r="G97" s="240">
        <v>10</v>
      </c>
      <c r="H97" s="240">
        <v>7</v>
      </c>
      <c r="I97" s="275">
        <f t="shared" si="2"/>
        <v>0.0012411347517730497</v>
      </c>
    </row>
    <row r="98" spans="1:9" ht="11.25">
      <c r="A98" s="229">
        <f t="shared" si="3"/>
        <v>90</v>
      </c>
      <c r="B98" s="238" t="s">
        <v>616</v>
      </c>
      <c r="C98" s="239" t="s">
        <v>464</v>
      </c>
      <c r="D98" s="240">
        <v>5</v>
      </c>
      <c r="E98" s="240">
        <v>5</v>
      </c>
      <c r="F98" s="240">
        <v>4</v>
      </c>
      <c r="G98" s="240">
        <v>6</v>
      </c>
      <c r="H98" s="240">
        <v>7</v>
      </c>
      <c r="I98" s="275">
        <f t="shared" si="2"/>
        <v>0.0012411347517730497</v>
      </c>
    </row>
    <row r="99" spans="1:9" ht="11.25">
      <c r="A99" s="229">
        <f t="shared" si="3"/>
        <v>91</v>
      </c>
      <c r="B99" s="238" t="s">
        <v>616</v>
      </c>
      <c r="C99" s="239" t="s">
        <v>274</v>
      </c>
      <c r="D99" s="240">
        <v>23</v>
      </c>
      <c r="E99" s="240">
        <v>13</v>
      </c>
      <c r="F99" s="240">
        <v>8</v>
      </c>
      <c r="G99" s="240">
        <v>7</v>
      </c>
      <c r="H99" s="240">
        <v>6</v>
      </c>
      <c r="I99" s="275">
        <f t="shared" si="2"/>
        <v>0.0010638297872340426</v>
      </c>
    </row>
    <row r="100" spans="1:9" ht="11.25">
      <c r="A100" s="229">
        <f t="shared" si="3"/>
        <v>92</v>
      </c>
      <c r="B100" s="238" t="s">
        <v>611</v>
      </c>
      <c r="C100" s="239" t="s">
        <v>403</v>
      </c>
      <c r="D100" s="240">
        <v>12</v>
      </c>
      <c r="E100" s="240">
        <v>10</v>
      </c>
      <c r="F100" s="240">
        <v>4</v>
      </c>
      <c r="G100" s="240">
        <v>7</v>
      </c>
      <c r="H100" s="240">
        <v>6</v>
      </c>
      <c r="I100" s="275">
        <f t="shared" si="2"/>
        <v>0.0010638297872340426</v>
      </c>
    </row>
    <row r="101" spans="1:9" ht="11.25">
      <c r="A101" s="229">
        <f t="shared" si="3"/>
        <v>93</v>
      </c>
      <c r="B101" s="238" t="s">
        <v>613</v>
      </c>
      <c r="C101" s="239" t="s">
        <v>168</v>
      </c>
      <c r="D101" s="240">
        <v>2</v>
      </c>
      <c r="E101" s="240">
        <v>4</v>
      </c>
      <c r="F101" s="240">
        <v>4</v>
      </c>
      <c r="G101" s="240">
        <v>1</v>
      </c>
      <c r="H101" s="240">
        <v>5</v>
      </c>
      <c r="I101" s="275">
        <f t="shared" si="2"/>
        <v>0.0008865248226950354</v>
      </c>
    </row>
    <row r="102" spans="1:9" ht="11.25">
      <c r="A102" s="229">
        <f t="shared" si="3"/>
        <v>94</v>
      </c>
      <c r="B102" s="238" t="s">
        <v>616</v>
      </c>
      <c r="C102" s="239" t="s">
        <v>278</v>
      </c>
      <c r="D102" s="240">
        <v>3</v>
      </c>
      <c r="E102" s="240">
        <v>4</v>
      </c>
      <c r="F102" s="240">
        <v>6</v>
      </c>
      <c r="G102" s="240">
        <v>5</v>
      </c>
      <c r="H102" s="240">
        <v>5</v>
      </c>
      <c r="I102" s="275">
        <f t="shared" si="2"/>
        <v>0.0008865248226950354</v>
      </c>
    </row>
    <row r="103" spans="1:9" ht="11.25">
      <c r="A103" s="229">
        <f t="shared" si="3"/>
        <v>95</v>
      </c>
      <c r="B103" s="238" t="s">
        <v>616</v>
      </c>
      <c r="C103" s="239" t="s">
        <v>621</v>
      </c>
      <c r="D103" s="240">
        <v>0</v>
      </c>
      <c r="E103" s="240">
        <v>0</v>
      </c>
      <c r="F103" s="240">
        <v>0</v>
      </c>
      <c r="G103" s="240">
        <v>0</v>
      </c>
      <c r="H103" s="240">
        <v>5</v>
      </c>
      <c r="I103" s="275">
        <f t="shared" si="2"/>
        <v>0.0008865248226950354</v>
      </c>
    </row>
    <row r="104" spans="1:9" ht="11.25">
      <c r="A104" s="229">
        <f t="shared" si="3"/>
        <v>96</v>
      </c>
      <c r="B104" s="238" t="s">
        <v>616</v>
      </c>
      <c r="C104" s="239" t="s">
        <v>333</v>
      </c>
      <c r="D104" s="240">
        <v>13</v>
      </c>
      <c r="E104" s="240">
        <v>13</v>
      </c>
      <c r="F104" s="240">
        <v>15</v>
      </c>
      <c r="G104" s="240">
        <v>10</v>
      </c>
      <c r="H104" s="240">
        <v>4</v>
      </c>
      <c r="I104" s="275">
        <f t="shared" si="2"/>
        <v>0.0007092198581560284</v>
      </c>
    </row>
    <row r="105" spans="1:9" ht="11.25">
      <c r="A105" s="229">
        <f t="shared" si="3"/>
        <v>97</v>
      </c>
      <c r="B105" s="238" t="s">
        <v>611</v>
      </c>
      <c r="C105" s="239" t="s">
        <v>389</v>
      </c>
      <c r="D105" s="240">
        <v>0</v>
      </c>
      <c r="E105" s="240">
        <v>0</v>
      </c>
      <c r="F105" s="240">
        <v>0</v>
      </c>
      <c r="G105" s="240">
        <v>0</v>
      </c>
      <c r="H105" s="240">
        <v>4</v>
      </c>
      <c r="I105" s="275">
        <f t="shared" si="2"/>
        <v>0.0007092198581560284</v>
      </c>
    </row>
    <row r="106" spans="1:9" ht="11.25">
      <c r="A106" s="229">
        <f t="shared" si="3"/>
        <v>98</v>
      </c>
      <c r="B106" s="238" t="s">
        <v>613</v>
      </c>
      <c r="C106" s="239" t="s">
        <v>321</v>
      </c>
      <c r="D106" s="240">
        <v>4</v>
      </c>
      <c r="E106" s="240">
        <v>7</v>
      </c>
      <c r="F106" s="240">
        <v>3</v>
      </c>
      <c r="G106" s="240">
        <v>7</v>
      </c>
      <c r="H106" s="240">
        <v>3</v>
      </c>
      <c r="I106" s="275">
        <f t="shared" si="2"/>
        <v>0.0005319148936170213</v>
      </c>
    </row>
    <row r="107" spans="1:9" ht="11.25">
      <c r="A107" s="229">
        <f t="shared" si="3"/>
        <v>99</v>
      </c>
      <c r="B107" s="238" t="s">
        <v>622</v>
      </c>
      <c r="C107" s="239" t="s">
        <v>245</v>
      </c>
      <c r="D107" s="240">
        <v>10</v>
      </c>
      <c r="E107" s="240">
        <v>7</v>
      </c>
      <c r="F107" s="240">
        <v>13</v>
      </c>
      <c r="G107" s="240">
        <v>8</v>
      </c>
      <c r="H107" s="240">
        <v>3</v>
      </c>
      <c r="I107" s="275">
        <f t="shared" si="2"/>
        <v>0.0005319148936170213</v>
      </c>
    </row>
    <row r="108" spans="1:9" ht="11.25">
      <c r="A108" s="229">
        <f t="shared" si="3"/>
        <v>100</v>
      </c>
      <c r="B108" s="238" t="s">
        <v>613</v>
      </c>
      <c r="C108" s="239" t="s">
        <v>352</v>
      </c>
      <c r="D108" s="240">
        <v>0</v>
      </c>
      <c r="E108" s="240">
        <v>0</v>
      </c>
      <c r="F108" s="240">
        <v>0</v>
      </c>
      <c r="G108" s="240">
        <v>0</v>
      </c>
      <c r="H108" s="240">
        <v>2</v>
      </c>
      <c r="I108" s="275">
        <f t="shared" si="2"/>
        <v>0.0003546099290780142</v>
      </c>
    </row>
    <row r="109" spans="1:9" ht="11.25">
      <c r="A109" s="229">
        <f t="shared" si="3"/>
        <v>101</v>
      </c>
      <c r="B109" s="238" t="s">
        <v>613</v>
      </c>
      <c r="C109" s="239" t="s">
        <v>308</v>
      </c>
      <c r="D109" s="240">
        <v>0</v>
      </c>
      <c r="E109" s="240">
        <v>3</v>
      </c>
      <c r="F109" s="240">
        <v>1</v>
      </c>
      <c r="G109" s="240">
        <v>3</v>
      </c>
      <c r="H109" s="240">
        <v>2</v>
      </c>
      <c r="I109" s="275">
        <f t="shared" si="2"/>
        <v>0.0003546099290780142</v>
      </c>
    </row>
    <row r="110" spans="1:9" ht="11.25">
      <c r="A110" s="229">
        <f t="shared" si="3"/>
        <v>102</v>
      </c>
      <c r="B110" s="238" t="s">
        <v>613</v>
      </c>
      <c r="C110" s="239" t="s">
        <v>623</v>
      </c>
      <c r="D110" s="240">
        <v>0</v>
      </c>
      <c r="E110" s="240">
        <v>0</v>
      </c>
      <c r="F110" s="240">
        <v>0</v>
      </c>
      <c r="G110" s="240">
        <v>0</v>
      </c>
      <c r="H110" s="240">
        <v>1</v>
      </c>
      <c r="I110" s="275">
        <f t="shared" si="2"/>
        <v>0.0001773049645390071</v>
      </c>
    </row>
    <row r="111" spans="1:9" ht="11.25">
      <c r="A111" s="229">
        <f t="shared" si="3"/>
        <v>103</v>
      </c>
      <c r="B111" s="238" t="s">
        <v>616</v>
      </c>
      <c r="C111" s="239" t="s">
        <v>301</v>
      </c>
      <c r="D111" s="240">
        <v>1</v>
      </c>
      <c r="E111" s="240">
        <v>1</v>
      </c>
      <c r="F111" s="240">
        <v>0</v>
      </c>
      <c r="G111" s="240">
        <v>0</v>
      </c>
      <c r="H111" s="240">
        <v>1</v>
      </c>
      <c r="I111" s="275">
        <f t="shared" si="2"/>
        <v>0.0001773049645390071</v>
      </c>
    </row>
    <row r="112" spans="1:9" ht="11.25">
      <c r="A112" s="229">
        <f t="shared" si="3"/>
        <v>104</v>
      </c>
      <c r="B112" s="238" t="s">
        <v>611</v>
      </c>
      <c r="C112" s="239" t="s">
        <v>624</v>
      </c>
      <c r="D112" s="240">
        <v>42</v>
      </c>
      <c r="E112" s="240">
        <v>12</v>
      </c>
      <c r="F112" s="240">
        <v>3</v>
      </c>
      <c r="G112" s="240">
        <v>0</v>
      </c>
      <c r="H112" s="240">
        <v>1</v>
      </c>
      <c r="I112" s="275">
        <f t="shared" si="2"/>
        <v>0.0001773049645390071</v>
      </c>
    </row>
    <row r="113" spans="1:9" ht="11.25">
      <c r="A113" s="229">
        <f t="shared" si="3"/>
        <v>105</v>
      </c>
      <c r="B113" s="238" t="s">
        <v>612</v>
      </c>
      <c r="C113" s="239" t="s">
        <v>625</v>
      </c>
      <c r="D113" s="240">
        <v>0</v>
      </c>
      <c r="E113" s="240">
        <v>0</v>
      </c>
      <c r="F113" s="240">
        <v>4</v>
      </c>
      <c r="G113" s="240">
        <v>6</v>
      </c>
      <c r="H113" s="240">
        <v>0</v>
      </c>
      <c r="I113" s="275">
        <f t="shared" si="2"/>
        <v>0</v>
      </c>
    </row>
    <row r="114" spans="1:9" ht="11.25">
      <c r="A114" s="229">
        <f t="shared" si="3"/>
        <v>106</v>
      </c>
      <c r="B114" s="238" t="s">
        <v>612</v>
      </c>
      <c r="C114" s="239" t="s">
        <v>626</v>
      </c>
      <c r="D114" s="240">
        <v>3</v>
      </c>
      <c r="E114" s="240">
        <v>1</v>
      </c>
      <c r="F114" s="240">
        <v>0</v>
      </c>
      <c r="G114" s="240">
        <v>0</v>
      </c>
      <c r="H114" s="240">
        <v>0</v>
      </c>
      <c r="I114" s="275">
        <f t="shared" si="2"/>
        <v>0</v>
      </c>
    </row>
    <row r="115" spans="1:9" ht="11.25">
      <c r="A115" s="229">
        <f t="shared" si="3"/>
        <v>107</v>
      </c>
      <c r="B115" s="238" t="s">
        <v>612</v>
      </c>
      <c r="C115" s="239" t="s">
        <v>627</v>
      </c>
      <c r="D115" s="240">
        <v>0</v>
      </c>
      <c r="E115" s="240">
        <v>0</v>
      </c>
      <c r="F115" s="240">
        <v>0</v>
      </c>
      <c r="G115" s="240">
        <v>0</v>
      </c>
      <c r="H115" s="240">
        <v>0</v>
      </c>
      <c r="I115" s="275">
        <f t="shared" si="2"/>
        <v>0</v>
      </c>
    </row>
    <row r="116" spans="1:9" ht="11.25">
      <c r="A116" s="229">
        <f t="shared" si="3"/>
        <v>108</v>
      </c>
      <c r="B116" s="238" t="s">
        <v>613</v>
      </c>
      <c r="C116" s="239" t="s">
        <v>112</v>
      </c>
      <c r="D116" s="240">
        <v>23</v>
      </c>
      <c r="E116" s="240">
        <v>15</v>
      </c>
      <c r="F116" s="240">
        <v>6</v>
      </c>
      <c r="G116" s="240">
        <v>1</v>
      </c>
      <c r="H116" s="240">
        <v>0</v>
      </c>
      <c r="I116" s="275">
        <f t="shared" si="2"/>
        <v>0</v>
      </c>
    </row>
    <row r="117" spans="1:9" ht="11.25">
      <c r="A117" s="229">
        <f t="shared" si="3"/>
        <v>109</v>
      </c>
      <c r="B117" s="238" t="s">
        <v>613</v>
      </c>
      <c r="C117" s="239" t="s">
        <v>135</v>
      </c>
      <c r="D117" s="240">
        <v>3</v>
      </c>
      <c r="E117" s="240">
        <v>2</v>
      </c>
      <c r="F117" s="240">
        <v>2</v>
      </c>
      <c r="G117" s="240">
        <v>2</v>
      </c>
      <c r="H117" s="240">
        <v>0</v>
      </c>
      <c r="I117" s="275">
        <f t="shared" si="2"/>
        <v>0</v>
      </c>
    </row>
    <row r="118" spans="1:9" ht="11.25">
      <c r="A118" s="229">
        <f t="shared" si="3"/>
        <v>110</v>
      </c>
      <c r="B118" s="238" t="s">
        <v>613</v>
      </c>
      <c r="C118" s="239" t="s">
        <v>285</v>
      </c>
      <c r="D118" s="240">
        <v>24</v>
      </c>
      <c r="E118" s="240">
        <v>3</v>
      </c>
      <c r="F118" s="240">
        <v>1</v>
      </c>
      <c r="G118" s="240">
        <v>0</v>
      </c>
      <c r="H118" s="240">
        <v>0</v>
      </c>
      <c r="I118" s="275">
        <f t="shared" si="2"/>
        <v>0</v>
      </c>
    </row>
    <row r="119" spans="1:9" ht="11.25">
      <c r="A119" s="229">
        <f t="shared" si="3"/>
        <v>111</v>
      </c>
      <c r="B119" s="238" t="s">
        <v>616</v>
      </c>
      <c r="C119" s="239" t="s">
        <v>313</v>
      </c>
      <c r="D119" s="240">
        <v>6</v>
      </c>
      <c r="E119" s="240">
        <v>5</v>
      </c>
      <c r="F119" s="240">
        <v>4</v>
      </c>
      <c r="G119" s="240">
        <v>0</v>
      </c>
      <c r="H119" s="240">
        <v>0</v>
      </c>
      <c r="I119" s="275">
        <f t="shared" si="2"/>
        <v>0</v>
      </c>
    </row>
    <row r="120" spans="1:9" ht="11.25">
      <c r="A120" s="229">
        <f t="shared" si="3"/>
        <v>112</v>
      </c>
      <c r="B120" s="238" t="s">
        <v>616</v>
      </c>
      <c r="C120" s="239" t="s">
        <v>371</v>
      </c>
      <c r="D120" s="240">
        <v>15</v>
      </c>
      <c r="E120" s="240">
        <v>1</v>
      </c>
      <c r="F120" s="240">
        <v>0</v>
      </c>
      <c r="G120" s="240">
        <v>0</v>
      </c>
      <c r="H120" s="240">
        <v>0</v>
      </c>
      <c r="I120" s="275">
        <f t="shared" si="2"/>
        <v>0</v>
      </c>
    </row>
    <row r="121" spans="1:9" ht="11.25">
      <c r="A121" s="229">
        <f t="shared" si="3"/>
        <v>113</v>
      </c>
      <c r="B121" s="238" t="s">
        <v>622</v>
      </c>
      <c r="C121" s="239" t="s">
        <v>628</v>
      </c>
      <c r="D121" s="240">
        <v>9</v>
      </c>
      <c r="E121" s="240">
        <v>9</v>
      </c>
      <c r="F121" s="240">
        <v>6</v>
      </c>
      <c r="G121" s="240">
        <v>8</v>
      </c>
      <c r="H121" s="240">
        <v>0</v>
      </c>
      <c r="I121" s="275">
        <f t="shared" si="2"/>
        <v>0</v>
      </c>
    </row>
    <row r="122" spans="1:9" ht="11.25">
      <c r="A122" s="229">
        <f t="shared" si="3"/>
        <v>114</v>
      </c>
      <c r="B122" s="238" t="s">
        <v>620</v>
      </c>
      <c r="C122" s="239" t="s">
        <v>629</v>
      </c>
      <c r="D122" s="240">
        <v>0</v>
      </c>
      <c r="E122" s="240">
        <v>0</v>
      </c>
      <c r="F122" s="240">
        <v>0</v>
      </c>
      <c r="G122" s="240">
        <v>1</v>
      </c>
      <c r="H122" s="240">
        <v>0</v>
      </c>
      <c r="I122" s="275">
        <f t="shared" si="2"/>
        <v>0</v>
      </c>
    </row>
    <row r="123" spans="1:9" ht="11.25">
      <c r="A123" s="229">
        <f t="shared" si="3"/>
        <v>115</v>
      </c>
      <c r="B123" s="238" t="s">
        <v>611</v>
      </c>
      <c r="C123" s="239" t="s">
        <v>455</v>
      </c>
      <c r="D123" s="240">
        <v>35</v>
      </c>
      <c r="E123" s="240">
        <v>18</v>
      </c>
      <c r="F123" s="240">
        <v>5</v>
      </c>
      <c r="G123" s="240">
        <v>1</v>
      </c>
      <c r="H123" s="240">
        <v>0</v>
      </c>
      <c r="I123" s="275">
        <f t="shared" si="2"/>
        <v>0</v>
      </c>
    </row>
    <row r="124" spans="1:9" ht="11.25">
      <c r="A124" s="229">
        <f t="shared" si="3"/>
        <v>116</v>
      </c>
      <c r="B124" s="238" t="s">
        <v>611</v>
      </c>
      <c r="C124" s="239" t="s">
        <v>630</v>
      </c>
      <c r="D124" s="240">
        <v>0</v>
      </c>
      <c r="E124" s="240">
        <v>0</v>
      </c>
      <c r="F124" s="240">
        <v>0</v>
      </c>
      <c r="G124" s="240">
        <v>0</v>
      </c>
      <c r="H124" s="240">
        <v>0</v>
      </c>
      <c r="I124" s="275">
        <f t="shared" si="2"/>
        <v>0</v>
      </c>
    </row>
    <row r="125" spans="2:9" ht="11.25">
      <c r="B125" s="291" t="s">
        <v>631</v>
      </c>
      <c r="C125" s="291"/>
      <c r="D125" s="240">
        <f>SUM(D9:D124)</f>
        <v>5919</v>
      </c>
      <c r="E125" s="240">
        <f>SUM(E9:E124)</f>
        <v>5605</v>
      </c>
      <c r="F125" s="240">
        <f>SUM(F9:F124)</f>
        <v>5589</v>
      </c>
      <c r="G125" s="240">
        <f>SUM(G9:G124)</f>
        <v>5577</v>
      </c>
      <c r="H125" s="240">
        <f>SUM(H9:H124)</f>
        <v>5640</v>
      </c>
      <c r="I125" s="274"/>
    </row>
    <row r="128" spans="8:9" ht="11.25">
      <c r="H128" s="271" t="s">
        <v>704</v>
      </c>
      <c r="I128" s="271"/>
    </row>
  </sheetData>
  <mergeCells count="1">
    <mergeCell ref="B125:C125"/>
  </mergeCells>
  <printOptions/>
  <pageMargins left="0.7" right="0.7" top="0.75" bottom="0.75" header="0.45" footer="0.45"/>
  <pageSetup horizontalDpi="600" verticalDpi="600" orientation="portrait" paperSize="9"/>
  <headerFooter>
    <oddHeader>&amp;L&amp;20Trends in Student Enrollment by Degree, Major, Academic Year and Term&amp;R&amp;D</oddHeader>
    <oddFooter>&amp;RPage &amp;P/&amp;N</oddFooter>
  </headerFooter>
  <drawing r:id="rId1"/>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1:V66"/>
  <sheetViews>
    <sheetView showGridLines="0" workbookViewId="0" topLeftCell="A13">
      <selection activeCell="M43" sqref="M43:N43"/>
    </sheetView>
  </sheetViews>
  <sheetFormatPr defaultColWidth="9.00390625" defaultRowHeight="11.25"/>
  <cols>
    <col min="1" max="1" width="4.625" style="1" customWidth="1"/>
    <col min="2" max="5" width="9.00390625" style="1" customWidth="1"/>
    <col min="6" max="6" width="7.125" style="1" customWidth="1"/>
    <col min="7" max="8" width="9.125" style="1" customWidth="1"/>
    <col min="9" max="9" width="1.75390625" style="1" customWidth="1"/>
    <col min="10" max="11" width="9.125" style="1" customWidth="1"/>
    <col min="12" max="12" width="1.75390625" style="1" customWidth="1"/>
    <col min="13" max="14" width="9.125" style="1" customWidth="1"/>
    <col min="15" max="15" width="3.75390625" style="10" customWidth="1"/>
    <col min="16" max="16384" width="9.00390625" style="10" customWidth="1"/>
  </cols>
  <sheetData>
    <row r="1" spans="1:14" s="12" customFormat="1" ht="11.25">
      <c r="A1" s="17" t="s">
        <v>88</v>
      </c>
      <c r="B1" s="18"/>
      <c r="C1" s="18"/>
      <c r="D1" s="18"/>
      <c r="E1" s="18"/>
      <c r="F1" s="18"/>
      <c r="G1" s="18"/>
      <c r="H1" s="18"/>
      <c r="I1" s="18"/>
      <c r="J1" s="18"/>
      <c r="K1" s="18"/>
      <c r="L1" s="18"/>
      <c r="M1" s="18"/>
      <c r="N1" s="19"/>
    </row>
    <row r="2" spans="1:16" s="12" customFormat="1" ht="11.25">
      <c r="A2" s="20" t="s">
        <v>89</v>
      </c>
      <c r="B2" s="15"/>
      <c r="C2" s="15"/>
      <c r="D2" s="15"/>
      <c r="E2" s="15"/>
      <c r="F2" s="15"/>
      <c r="G2" s="328" t="s">
        <v>26</v>
      </c>
      <c r="H2" s="328"/>
      <c r="I2" s="328"/>
      <c r="J2" s="328"/>
      <c r="K2" s="328"/>
      <c r="L2" s="328"/>
      <c r="M2" s="328"/>
      <c r="N2" s="329"/>
      <c r="P2" s="43" t="s">
        <v>27</v>
      </c>
    </row>
    <row r="3" spans="1:14" ht="11.25">
      <c r="A3" s="45"/>
      <c r="B3" s="2"/>
      <c r="C3" s="2"/>
      <c r="D3" s="2"/>
      <c r="E3" s="2"/>
      <c r="F3" s="16" t="s">
        <v>14</v>
      </c>
      <c r="G3" s="330">
        <v>19</v>
      </c>
      <c r="H3" s="327"/>
      <c r="I3" s="2"/>
      <c r="J3" s="330">
        <v>18</v>
      </c>
      <c r="K3" s="327"/>
      <c r="L3" s="2"/>
      <c r="M3" s="330">
        <v>17</v>
      </c>
      <c r="N3" s="331"/>
    </row>
    <row r="4" spans="1:16" ht="11.25">
      <c r="A4" s="20"/>
      <c r="B4" s="2"/>
      <c r="C4" s="2"/>
      <c r="D4" s="2"/>
      <c r="E4" s="2"/>
      <c r="F4" s="16" t="s">
        <v>15</v>
      </c>
      <c r="G4" s="330" t="s">
        <v>80</v>
      </c>
      <c r="H4" s="327"/>
      <c r="I4" s="2"/>
      <c r="J4" s="330" t="s">
        <v>81</v>
      </c>
      <c r="K4" s="327"/>
      <c r="L4" s="2"/>
      <c r="M4" s="330" t="s">
        <v>82</v>
      </c>
      <c r="N4" s="331"/>
      <c r="P4" t="s">
        <v>180</v>
      </c>
    </row>
    <row r="5" spans="1:14" ht="11.25">
      <c r="A5" s="20"/>
      <c r="B5" s="2"/>
      <c r="C5" s="2"/>
      <c r="D5" s="2"/>
      <c r="E5" s="2"/>
      <c r="F5" s="16" t="s">
        <v>16</v>
      </c>
      <c r="G5" s="321" t="s">
        <v>95</v>
      </c>
      <c r="H5" s="322"/>
      <c r="I5" s="2"/>
      <c r="J5" s="28"/>
      <c r="K5" s="28"/>
      <c r="L5" s="28"/>
      <c r="M5" s="28"/>
      <c r="N5" s="33"/>
    </row>
    <row r="6" spans="1:14" ht="11.25">
      <c r="A6" s="20"/>
      <c r="B6" s="2"/>
      <c r="C6" s="2"/>
      <c r="D6" s="2"/>
      <c r="E6" s="2"/>
      <c r="F6" s="16" t="s">
        <v>17</v>
      </c>
      <c r="G6" s="323" t="s">
        <v>181</v>
      </c>
      <c r="H6" s="323"/>
      <c r="I6" s="2"/>
      <c r="J6" s="28"/>
      <c r="K6" s="28"/>
      <c r="L6" s="28"/>
      <c r="M6" s="28"/>
      <c r="N6" s="33"/>
    </row>
    <row r="7" spans="1:14" ht="11.25">
      <c r="A7" s="20"/>
      <c r="B7" s="2"/>
      <c r="C7" s="2"/>
      <c r="D7" s="2"/>
      <c r="E7" s="2"/>
      <c r="F7" s="16" t="s">
        <v>33</v>
      </c>
      <c r="G7" s="324" t="s">
        <v>149</v>
      </c>
      <c r="H7" s="325"/>
      <c r="I7" s="2"/>
      <c r="J7" s="28"/>
      <c r="K7" s="28"/>
      <c r="L7" s="28"/>
      <c r="M7" s="28"/>
      <c r="N7" s="33"/>
    </row>
    <row r="8" spans="1:14" ht="11.25">
      <c r="A8" s="20"/>
      <c r="B8" s="2"/>
      <c r="C8" s="2"/>
      <c r="D8" s="2"/>
      <c r="E8" s="2"/>
      <c r="F8" s="16" t="s">
        <v>18</v>
      </c>
      <c r="G8" s="326">
        <v>43924</v>
      </c>
      <c r="H8" s="327"/>
      <c r="I8" s="2"/>
      <c r="J8" s="28"/>
      <c r="K8" s="28"/>
      <c r="L8" s="28"/>
      <c r="M8" s="28"/>
      <c r="N8" s="33"/>
    </row>
    <row r="9" spans="1:14" ht="12.75">
      <c r="A9" s="21" t="s">
        <v>2</v>
      </c>
      <c r="B9" s="22"/>
      <c r="C9" s="4"/>
      <c r="D9" s="4"/>
      <c r="E9" s="3"/>
      <c r="F9" s="3"/>
      <c r="G9" s="319"/>
      <c r="H9" s="319"/>
      <c r="I9" s="3"/>
      <c r="J9" s="319"/>
      <c r="K9" s="319"/>
      <c r="L9" s="3"/>
      <c r="M9" s="319"/>
      <c r="N9" s="320"/>
    </row>
    <row r="10" spans="1:15" ht="12.75">
      <c r="A10" s="20"/>
      <c r="B10" s="22" t="s">
        <v>56</v>
      </c>
      <c r="C10" s="4"/>
      <c r="D10" s="4"/>
      <c r="E10" s="3"/>
      <c r="F10" s="29"/>
      <c r="G10" s="58"/>
      <c r="H10" s="58"/>
      <c r="I10" s="5"/>
      <c r="J10" s="58"/>
      <c r="K10" s="58"/>
      <c r="L10" s="5"/>
      <c r="M10" s="58"/>
      <c r="N10" s="59"/>
      <c r="O10" s="11"/>
    </row>
    <row r="11" spans="1:16" ht="11.25">
      <c r="A11" s="20"/>
      <c r="B11" s="22"/>
      <c r="C11" s="6"/>
      <c r="D11" s="6"/>
      <c r="E11" s="7"/>
      <c r="F11" s="30" t="s">
        <v>7</v>
      </c>
      <c r="G11" s="313">
        <v>1523</v>
      </c>
      <c r="H11" s="314"/>
      <c r="I11" s="5"/>
      <c r="J11" s="313">
        <v>1855</v>
      </c>
      <c r="K11" s="314"/>
      <c r="L11" s="5"/>
      <c r="M11" s="313">
        <v>1847</v>
      </c>
      <c r="N11" s="315"/>
      <c r="P11" s="10" t="s">
        <v>28</v>
      </c>
    </row>
    <row r="12" spans="1:16" ht="12.75">
      <c r="A12" s="20"/>
      <c r="B12" s="22"/>
      <c r="C12" s="4"/>
      <c r="D12" s="4"/>
      <c r="E12" s="3"/>
      <c r="F12" s="29" t="s">
        <v>5</v>
      </c>
      <c r="G12" s="316">
        <v>-0.179</v>
      </c>
      <c r="H12" s="317"/>
      <c r="I12" s="5"/>
      <c r="J12" s="316">
        <v>0.004</v>
      </c>
      <c r="K12" s="317"/>
      <c r="L12" s="5"/>
      <c r="M12" s="316">
        <v>-0.135</v>
      </c>
      <c r="N12" s="318"/>
      <c r="O12" s="11"/>
      <c r="P12" s="10" t="s">
        <v>29</v>
      </c>
    </row>
    <row r="13" spans="1:16" ht="12.75">
      <c r="A13" s="20"/>
      <c r="B13" s="22"/>
      <c r="C13" s="4"/>
      <c r="D13" s="4"/>
      <c r="E13" s="3"/>
      <c r="F13" s="29" t="s">
        <v>53</v>
      </c>
      <c r="G13" s="313">
        <v>1</v>
      </c>
      <c r="H13" s="314"/>
      <c r="I13" s="5"/>
      <c r="J13" s="313">
        <v>1</v>
      </c>
      <c r="K13" s="314"/>
      <c r="L13" s="5"/>
      <c r="M13" s="313">
        <v>1</v>
      </c>
      <c r="N13" s="315"/>
      <c r="O13" s="11"/>
      <c r="P13" s="10" t="s">
        <v>71</v>
      </c>
    </row>
    <row r="14" spans="1:16" ht="12.75">
      <c r="A14" s="20"/>
      <c r="B14" s="22"/>
      <c r="C14" s="4"/>
      <c r="D14" s="4"/>
      <c r="E14" s="3"/>
      <c r="F14" s="29" t="s">
        <v>54</v>
      </c>
      <c r="G14" s="313">
        <v>10</v>
      </c>
      <c r="H14" s="314"/>
      <c r="I14" s="5"/>
      <c r="J14" s="313">
        <v>12</v>
      </c>
      <c r="K14" s="314"/>
      <c r="L14" s="5"/>
      <c r="M14" s="313">
        <v>14</v>
      </c>
      <c r="N14" s="315"/>
      <c r="O14" s="11"/>
      <c r="P14" s="10" t="s">
        <v>70</v>
      </c>
    </row>
    <row r="15" spans="1:16" ht="12.75">
      <c r="A15" s="20"/>
      <c r="B15" s="22"/>
      <c r="C15" s="4"/>
      <c r="D15" s="4"/>
      <c r="E15" s="3"/>
      <c r="F15" s="29" t="s">
        <v>55</v>
      </c>
      <c r="G15" s="313">
        <v>2</v>
      </c>
      <c r="H15" s="314"/>
      <c r="I15" s="5"/>
      <c r="J15" s="313">
        <v>1</v>
      </c>
      <c r="K15" s="314"/>
      <c r="L15" s="5"/>
      <c r="M15" s="313">
        <v>2</v>
      </c>
      <c r="N15" s="315"/>
      <c r="O15" s="11"/>
      <c r="P15" s="10" t="s">
        <v>69</v>
      </c>
    </row>
    <row r="16" spans="1:16" ht="12.75">
      <c r="A16" s="20"/>
      <c r="B16" s="22"/>
      <c r="C16" s="4"/>
      <c r="D16" s="4"/>
      <c r="E16" s="3"/>
      <c r="F16" s="29" t="s">
        <v>78</v>
      </c>
      <c r="G16" s="313">
        <v>4</v>
      </c>
      <c r="H16" s="314"/>
      <c r="I16" s="5"/>
      <c r="J16" s="313">
        <v>7</v>
      </c>
      <c r="K16" s="314"/>
      <c r="L16" s="5"/>
      <c r="M16" s="313">
        <v>9</v>
      </c>
      <c r="N16" s="315"/>
      <c r="O16" s="11"/>
      <c r="P16" s="10" t="s">
        <v>86</v>
      </c>
    </row>
    <row r="17" spans="1:15" ht="12.75">
      <c r="A17" s="20"/>
      <c r="B17" s="22" t="s">
        <v>57</v>
      </c>
      <c r="C17" s="4"/>
      <c r="D17" s="4"/>
      <c r="E17" s="3"/>
      <c r="F17" s="29"/>
      <c r="G17" s="58"/>
      <c r="H17" s="58"/>
      <c r="I17" s="5"/>
      <c r="J17" s="58"/>
      <c r="K17" s="58"/>
      <c r="L17" s="5"/>
      <c r="M17" s="58"/>
      <c r="N17" s="59"/>
      <c r="O17" s="11"/>
    </row>
    <row r="18" spans="1:16" ht="11.25">
      <c r="A18" s="20"/>
      <c r="B18" s="22"/>
      <c r="C18" s="6"/>
      <c r="D18" s="6"/>
      <c r="E18" s="7"/>
      <c r="F18" s="30" t="s">
        <v>7</v>
      </c>
      <c r="G18" s="313"/>
      <c r="H18" s="314"/>
      <c r="I18" s="5"/>
      <c r="J18" s="313"/>
      <c r="K18" s="314"/>
      <c r="L18" s="5"/>
      <c r="M18" s="313"/>
      <c r="N18" s="315"/>
      <c r="P18" s="10" t="s">
        <v>28</v>
      </c>
    </row>
    <row r="19" spans="1:16" ht="12.75">
      <c r="A19" s="20"/>
      <c r="B19" s="22"/>
      <c r="C19" s="4"/>
      <c r="D19" s="4"/>
      <c r="E19" s="3"/>
      <c r="F19" s="29" t="s">
        <v>5</v>
      </c>
      <c r="G19" s="316"/>
      <c r="H19" s="317"/>
      <c r="I19" s="5"/>
      <c r="J19" s="316"/>
      <c r="K19" s="317"/>
      <c r="L19" s="5"/>
      <c r="M19" s="316"/>
      <c r="N19" s="318"/>
      <c r="O19" s="11"/>
      <c r="P19" s="10" t="s">
        <v>29</v>
      </c>
    </row>
    <row r="20" spans="1:16" ht="12.75">
      <c r="A20" s="20"/>
      <c r="B20" s="22"/>
      <c r="C20" s="4"/>
      <c r="D20" s="4"/>
      <c r="E20" s="3"/>
      <c r="F20" s="29" t="s">
        <v>58</v>
      </c>
      <c r="G20" s="313"/>
      <c r="H20" s="314"/>
      <c r="I20" s="5"/>
      <c r="J20" s="313"/>
      <c r="K20" s="314"/>
      <c r="L20" s="5"/>
      <c r="M20" s="313"/>
      <c r="N20" s="315"/>
      <c r="O20" s="11"/>
      <c r="P20" s="10" t="s">
        <v>71</v>
      </c>
    </row>
    <row r="21" spans="1:16" ht="12.75">
      <c r="A21" s="20"/>
      <c r="B21" s="22"/>
      <c r="C21" s="4"/>
      <c r="D21" s="4"/>
      <c r="E21" s="3"/>
      <c r="F21" s="29" t="s">
        <v>59</v>
      </c>
      <c r="G21" s="313"/>
      <c r="H21" s="314"/>
      <c r="I21" s="5"/>
      <c r="J21" s="313"/>
      <c r="K21" s="314"/>
      <c r="L21" s="5"/>
      <c r="M21" s="313"/>
      <c r="N21" s="315"/>
      <c r="O21" s="11"/>
      <c r="P21" s="10" t="s">
        <v>83</v>
      </c>
    </row>
    <row r="22" spans="1:16" ht="12.75">
      <c r="A22" s="20"/>
      <c r="B22" s="22"/>
      <c r="C22" s="4"/>
      <c r="D22" s="4"/>
      <c r="E22" s="3"/>
      <c r="F22" s="29" t="s">
        <v>78</v>
      </c>
      <c r="G22" s="313"/>
      <c r="H22" s="314"/>
      <c r="I22" s="5"/>
      <c r="J22" s="313"/>
      <c r="K22" s="314"/>
      <c r="L22" s="5"/>
      <c r="M22" s="313"/>
      <c r="N22" s="315"/>
      <c r="O22" s="11"/>
      <c r="P22" s="10" t="s">
        <v>86</v>
      </c>
    </row>
    <row r="23" spans="1:14" ht="11.25">
      <c r="A23" s="20"/>
      <c r="B23" s="4" t="s">
        <v>6</v>
      </c>
      <c r="C23" s="4"/>
      <c r="D23" s="4"/>
      <c r="E23" s="3"/>
      <c r="F23" s="3"/>
      <c r="G23" s="23"/>
      <c r="H23" s="23"/>
      <c r="I23" s="5"/>
      <c r="J23" s="23"/>
      <c r="K23" s="23"/>
      <c r="L23" s="5"/>
      <c r="M23" s="23"/>
      <c r="N23" s="24"/>
    </row>
    <row r="24" spans="1:16" ht="11.25">
      <c r="A24" s="20"/>
      <c r="B24" s="22"/>
      <c r="C24" s="4"/>
      <c r="D24" s="4"/>
      <c r="E24" s="3"/>
      <c r="F24" s="29" t="s">
        <v>20</v>
      </c>
      <c r="G24" s="293">
        <v>0.015</v>
      </c>
      <c r="H24" s="294"/>
      <c r="I24" s="3"/>
      <c r="J24" s="293">
        <v>0.02</v>
      </c>
      <c r="K24" s="294"/>
      <c r="L24" s="3"/>
      <c r="M24" s="293">
        <v>0.017</v>
      </c>
      <c r="N24" s="295"/>
      <c r="P24" s="10" t="s">
        <v>30</v>
      </c>
    </row>
    <row r="25" spans="1:16" ht="11.25">
      <c r="A25" s="20"/>
      <c r="B25" s="22"/>
      <c r="C25" s="4"/>
      <c r="D25" s="4"/>
      <c r="E25" s="3"/>
      <c r="F25" s="29" t="s">
        <v>21</v>
      </c>
      <c r="G25" s="293">
        <v>0.985</v>
      </c>
      <c r="H25" s="294"/>
      <c r="I25" s="3"/>
      <c r="J25" s="293">
        <v>0.98</v>
      </c>
      <c r="K25" s="294"/>
      <c r="L25" s="3"/>
      <c r="M25" s="293">
        <v>0.983</v>
      </c>
      <c r="N25" s="295"/>
      <c r="P25" s="10" t="s">
        <v>31</v>
      </c>
    </row>
    <row r="26" spans="1:14" ht="11.25">
      <c r="A26" s="62" t="s">
        <v>60</v>
      </c>
      <c r="B26" s="22"/>
      <c r="C26" s="4"/>
      <c r="D26" s="4"/>
      <c r="E26" s="3"/>
      <c r="F26" s="29"/>
      <c r="G26" s="60"/>
      <c r="H26" s="60"/>
      <c r="I26" s="5"/>
      <c r="J26" s="60"/>
      <c r="K26" s="60"/>
      <c r="L26" s="5"/>
      <c r="M26" s="60"/>
      <c r="N26" s="61"/>
    </row>
    <row r="27" spans="1:16" ht="11.25">
      <c r="A27" s="20"/>
      <c r="B27" s="22"/>
      <c r="C27" s="4"/>
      <c r="D27" s="4"/>
      <c r="E27" s="3"/>
      <c r="F27" s="29" t="s">
        <v>61</v>
      </c>
      <c r="G27" s="313">
        <f>275266.5+2464.13+1198.79</f>
        <v>278929.42</v>
      </c>
      <c r="H27" s="314"/>
      <c r="I27" s="5"/>
      <c r="J27" s="313">
        <f>217021.35+3250+9750.06+0.02</f>
        <v>230021.43</v>
      </c>
      <c r="K27" s="314"/>
      <c r="L27" s="5"/>
      <c r="M27" s="313">
        <v>215454.82</v>
      </c>
      <c r="N27" s="315"/>
      <c r="P27" s="10" t="s">
        <v>91</v>
      </c>
    </row>
    <row r="28" spans="1:16" ht="11.25">
      <c r="A28" s="20"/>
      <c r="B28" s="22"/>
      <c r="C28" s="4"/>
      <c r="D28" s="4"/>
      <c r="E28" s="3"/>
      <c r="F28" s="29" t="s">
        <v>62</v>
      </c>
      <c r="G28" s="313">
        <v>42632</v>
      </c>
      <c r="H28" s="314"/>
      <c r="I28" s="5"/>
      <c r="J28" s="313">
        <v>35893</v>
      </c>
      <c r="K28" s="314"/>
      <c r="L28" s="5"/>
      <c r="M28" s="313">
        <v>34230</v>
      </c>
      <c r="N28" s="315"/>
      <c r="P28" s="10" t="s">
        <v>91</v>
      </c>
    </row>
    <row r="29" spans="1:16" ht="11.25">
      <c r="A29" s="20"/>
      <c r="B29" s="22"/>
      <c r="C29" s="4"/>
      <c r="D29" s="4"/>
      <c r="E29" s="3"/>
      <c r="F29" s="29" t="s">
        <v>63</v>
      </c>
      <c r="G29" s="310">
        <v>122561.95</v>
      </c>
      <c r="H29" s="311"/>
      <c r="I29" s="5"/>
      <c r="J29" s="310">
        <v>109852.84</v>
      </c>
      <c r="K29" s="311"/>
      <c r="L29" s="5"/>
      <c r="M29" s="310"/>
      <c r="N29" s="312"/>
      <c r="P29" s="10" t="s">
        <v>90</v>
      </c>
    </row>
    <row r="30" spans="1:14" ht="11.25">
      <c r="A30" s="20"/>
      <c r="B30" s="22"/>
      <c r="C30" s="4"/>
      <c r="D30" s="4"/>
      <c r="E30" s="3"/>
      <c r="F30" s="29"/>
      <c r="G30" s="73"/>
      <c r="H30" s="74"/>
      <c r="I30" s="5"/>
      <c r="J30" s="73"/>
      <c r="K30" s="74"/>
      <c r="L30" s="5"/>
      <c r="M30" s="73"/>
      <c r="N30" s="75"/>
    </row>
    <row r="31" spans="1:18" ht="11.25">
      <c r="A31" s="20"/>
      <c r="B31" s="4"/>
      <c r="C31" s="4"/>
      <c r="D31" s="4"/>
      <c r="E31" s="3"/>
      <c r="F31" s="63" t="s">
        <v>64</v>
      </c>
      <c r="G31" s="299">
        <f>SUM(G27:H29)/(G11+G18)</f>
        <v>291.6108798424163</v>
      </c>
      <c r="H31" s="300"/>
      <c r="I31" s="22"/>
      <c r="J31" s="299">
        <f>SUM(J27:K29)/(J11+J18)</f>
        <v>202.56995687331536</v>
      </c>
      <c r="K31" s="300"/>
      <c r="L31" s="22"/>
      <c r="M31" s="299">
        <f>SUM(M27:N29)/(M11+M18)</f>
        <v>135.18398484028154</v>
      </c>
      <c r="N31" s="301"/>
      <c r="O31"/>
      <c r="P31" t="s">
        <v>32</v>
      </c>
      <c r="Q31"/>
      <c r="R31"/>
    </row>
    <row r="32" spans="1:14" ht="11.25">
      <c r="A32" s="21" t="s">
        <v>3</v>
      </c>
      <c r="B32" s="22"/>
      <c r="C32" s="4"/>
      <c r="D32" s="4"/>
      <c r="E32" s="3"/>
      <c r="F32" s="3"/>
      <c r="G32" s="8"/>
      <c r="H32" s="8"/>
      <c r="I32" s="3"/>
      <c r="J32" s="8"/>
      <c r="K32" s="8"/>
      <c r="L32" s="3"/>
      <c r="M32" s="8"/>
      <c r="N32" s="25"/>
    </row>
    <row r="33" spans="1:22" ht="11.25">
      <c r="A33" s="20"/>
      <c r="B33" s="22"/>
      <c r="C33" s="4"/>
      <c r="D33" s="48"/>
      <c r="E33" s="49"/>
      <c r="F33" s="50" t="s">
        <v>43</v>
      </c>
      <c r="G33" s="302">
        <v>1.2</v>
      </c>
      <c r="H33" s="303"/>
      <c r="I33" s="56"/>
      <c r="J33" s="302">
        <v>0.9</v>
      </c>
      <c r="K33" s="303"/>
      <c r="L33" s="56"/>
      <c r="M33" s="302">
        <v>1</v>
      </c>
      <c r="N33" s="304"/>
      <c r="O33"/>
      <c r="P33" s="46" t="s">
        <v>47</v>
      </c>
      <c r="Q33" s="47"/>
      <c r="R33" s="47"/>
      <c r="S33" s="46"/>
      <c r="T33" s="46"/>
      <c r="U33" s="46"/>
      <c r="V33" s="46"/>
    </row>
    <row r="34" spans="1:22" ht="11.25">
      <c r="A34" s="20"/>
      <c r="B34" s="22"/>
      <c r="C34" s="4"/>
      <c r="D34" s="48"/>
      <c r="E34" s="49"/>
      <c r="F34" s="50" t="s">
        <v>44</v>
      </c>
      <c r="G34" s="302">
        <v>1</v>
      </c>
      <c r="H34" s="303"/>
      <c r="I34" s="56"/>
      <c r="J34" s="302">
        <v>1</v>
      </c>
      <c r="K34" s="303"/>
      <c r="L34" s="56"/>
      <c r="M34" s="302">
        <v>1</v>
      </c>
      <c r="N34" s="304"/>
      <c r="O34"/>
      <c r="P34" s="46" t="s">
        <v>48</v>
      </c>
      <c r="Q34" s="47"/>
      <c r="R34" s="47"/>
      <c r="S34" s="46"/>
      <c r="T34" s="46"/>
      <c r="U34" s="46"/>
      <c r="V34" s="46"/>
    </row>
    <row r="35" spans="1:22" ht="11.25">
      <c r="A35" s="20"/>
      <c r="B35" s="22"/>
      <c r="C35" s="4"/>
      <c r="D35" s="48"/>
      <c r="E35" s="49"/>
      <c r="F35" s="50" t="s">
        <v>45</v>
      </c>
      <c r="G35" s="307"/>
      <c r="H35" s="308"/>
      <c r="I35" s="56"/>
      <c r="J35" s="307">
        <v>0.4</v>
      </c>
      <c r="K35" s="308"/>
      <c r="L35" s="56"/>
      <c r="M35" s="307"/>
      <c r="N35" s="309"/>
      <c r="O35"/>
      <c r="P35" s="46" t="s">
        <v>50</v>
      </c>
      <c r="Q35" s="47"/>
      <c r="R35" s="47"/>
      <c r="S35" s="46"/>
      <c r="T35" s="46"/>
      <c r="U35" s="46"/>
      <c r="V35" s="46"/>
    </row>
    <row r="36" spans="1:22" ht="11.25">
      <c r="A36" s="20"/>
      <c r="B36" s="22"/>
      <c r="C36" s="4"/>
      <c r="D36" s="48"/>
      <c r="E36" s="49"/>
      <c r="F36" s="50" t="s">
        <v>46</v>
      </c>
      <c r="G36" s="305"/>
      <c r="H36" s="305"/>
      <c r="I36" s="56"/>
      <c r="J36" s="305"/>
      <c r="K36" s="305"/>
      <c r="L36" s="56"/>
      <c r="M36" s="305"/>
      <c r="N36" s="306"/>
      <c r="O36"/>
      <c r="P36" s="46" t="s">
        <v>49</v>
      </c>
      <c r="Q36" s="47"/>
      <c r="R36" s="47"/>
      <c r="S36" s="46"/>
      <c r="T36" s="46"/>
      <c r="U36" s="46"/>
      <c r="V36" s="46"/>
    </row>
    <row r="37" spans="1:18" s="69" customFormat="1" ht="11.25">
      <c r="A37" s="64"/>
      <c r="B37" s="65"/>
      <c r="C37" s="66"/>
      <c r="D37" s="66"/>
      <c r="E37" s="5"/>
      <c r="F37" s="67"/>
      <c r="G37" s="70"/>
      <c r="H37" s="70"/>
      <c r="I37" s="68"/>
      <c r="J37" s="70"/>
      <c r="K37" s="70"/>
      <c r="L37" s="68"/>
      <c r="M37" s="70"/>
      <c r="N37" s="71"/>
      <c r="O37" s="12"/>
      <c r="Q37" s="12"/>
      <c r="R37" s="12"/>
    </row>
    <row r="38" spans="1:22" ht="11.25">
      <c r="A38" s="20"/>
      <c r="B38" s="22"/>
      <c r="C38" s="4"/>
      <c r="D38" s="48"/>
      <c r="E38" s="49"/>
      <c r="F38" s="50" t="s">
        <v>66</v>
      </c>
      <c r="G38" s="305">
        <f>760+29</f>
        <v>789</v>
      </c>
      <c r="H38" s="305"/>
      <c r="I38" s="56"/>
      <c r="J38" s="305">
        <v>421</v>
      </c>
      <c r="K38" s="305"/>
      <c r="L38" s="56"/>
      <c r="M38" s="305">
        <v>616</v>
      </c>
      <c r="N38" s="306"/>
      <c r="O38"/>
      <c r="P38" s="46" t="s">
        <v>72</v>
      </c>
      <c r="Q38" s="47"/>
      <c r="R38" s="47"/>
      <c r="S38" s="46"/>
      <c r="T38" s="46"/>
      <c r="U38" s="46"/>
      <c r="V38" s="46"/>
    </row>
    <row r="39" spans="1:22" ht="11.25">
      <c r="A39" s="20"/>
      <c r="B39" s="22"/>
      <c r="C39" s="4"/>
      <c r="D39" s="48"/>
      <c r="E39" s="49"/>
      <c r="F39" s="50" t="s">
        <v>65</v>
      </c>
      <c r="G39" s="299">
        <v>1034</v>
      </c>
      <c r="H39" s="300"/>
      <c r="I39" s="56"/>
      <c r="J39" s="299">
        <v>912</v>
      </c>
      <c r="K39" s="300"/>
      <c r="L39" s="56"/>
      <c r="M39" s="299">
        <v>952</v>
      </c>
      <c r="N39" s="301"/>
      <c r="O39"/>
      <c r="P39" s="46" t="s">
        <v>73</v>
      </c>
      <c r="Q39" s="47"/>
      <c r="R39" s="47"/>
      <c r="S39" s="46"/>
      <c r="T39" s="46"/>
      <c r="U39" s="46"/>
      <c r="V39" s="46"/>
    </row>
    <row r="40" spans="1:22" ht="11.25">
      <c r="A40" s="20"/>
      <c r="B40" s="22"/>
      <c r="C40" s="4"/>
      <c r="D40" s="48"/>
      <c r="E40" s="49"/>
      <c r="F40" s="50" t="s">
        <v>67</v>
      </c>
      <c r="G40" s="302"/>
      <c r="H40" s="303"/>
      <c r="I40" s="56"/>
      <c r="J40" s="302">
        <v>250</v>
      </c>
      <c r="K40" s="303"/>
      <c r="L40" s="56"/>
      <c r="M40" s="302">
        <v>0</v>
      </c>
      <c r="N40" s="304"/>
      <c r="O40"/>
      <c r="P40" s="46" t="s">
        <v>75</v>
      </c>
      <c r="Q40" s="47"/>
      <c r="R40" s="47"/>
      <c r="S40" s="46"/>
      <c r="T40" s="46"/>
      <c r="U40" s="46"/>
      <c r="V40" s="46"/>
    </row>
    <row r="41" spans="1:22" ht="11.25">
      <c r="A41" s="20"/>
      <c r="B41" s="22"/>
      <c r="C41" s="4"/>
      <c r="D41" s="48"/>
      <c r="E41" s="49"/>
      <c r="F41" s="50" t="s">
        <v>68</v>
      </c>
      <c r="G41" s="302"/>
      <c r="H41" s="303"/>
      <c r="I41" s="56"/>
      <c r="J41" s="302"/>
      <c r="K41" s="303"/>
      <c r="L41" s="56"/>
      <c r="M41" s="302">
        <v>0</v>
      </c>
      <c r="N41" s="304"/>
      <c r="O41"/>
      <c r="P41" s="46" t="s">
        <v>74</v>
      </c>
      <c r="Q41" s="47"/>
      <c r="R41" s="47"/>
      <c r="S41" s="46"/>
      <c r="T41" s="46"/>
      <c r="U41" s="46"/>
      <c r="V41" s="46"/>
    </row>
    <row r="42" spans="1:18" ht="11.25">
      <c r="A42" s="20"/>
      <c r="B42" s="4"/>
      <c r="C42" s="4"/>
      <c r="D42" s="4"/>
      <c r="E42" s="3"/>
      <c r="F42" s="3"/>
      <c r="G42" s="9"/>
      <c r="H42" s="9"/>
      <c r="I42" s="22"/>
      <c r="J42" s="9"/>
      <c r="K42" s="9"/>
      <c r="L42" s="22"/>
      <c r="M42" s="9"/>
      <c r="N42" s="26"/>
      <c r="O42"/>
      <c r="P42"/>
      <c r="Q42"/>
      <c r="R42"/>
    </row>
    <row r="43" spans="1:18" ht="11.25">
      <c r="A43" s="20"/>
      <c r="B43" s="22"/>
      <c r="C43" s="4"/>
      <c r="D43" s="4"/>
      <c r="E43" s="3"/>
      <c r="F43" s="29" t="s">
        <v>22</v>
      </c>
      <c r="G43" s="302">
        <f>+(G11+G18)/(G33+G34)</f>
        <v>692.2727272727273</v>
      </c>
      <c r="H43" s="303"/>
      <c r="I43" s="22"/>
      <c r="J43" s="302">
        <f>+(J11+J18)/(J33+J34)</f>
        <v>976.3157894736843</v>
      </c>
      <c r="K43" s="303"/>
      <c r="L43" s="22"/>
      <c r="M43" s="302">
        <f>+(M11+M18)/(M33+M34)</f>
        <v>923.5</v>
      </c>
      <c r="N43" s="303"/>
      <c r="O43"/>
      <c r="P43" t="s">
        <v>32</v>
      </c>
      <c r="Q43"/>
      <c r="R43"/>
    </row>
    <row r="44" spans="1:18" ht="11.25">
      <c r="A44" s="20"/>
      <c r="B44" s="22"/>
      <c r="C44" s="4"/>
      <c r="D44" s="4"/>
      <c r="E44" s="3"/>
      <c r="F44" s="29" t="s">
        <v>216</v>
      </c>
      <c r="G44" s="332">
        <f>(G11+G18)/SUM(G33:H36)</f>
        <v>692.2727272727273</v>
      </c>
      <c r="H44" s="332"/>
      <c r="I44" s="22"/>
      <c r="J44" s="332">
        <f>(J11+J18)/SUM(J33:K36)</f>
        <v>806.5217391304349</v>
      </c>
      <c r="K44" s="332"/>
      <c r="L44" s="22"/>
      <c r="M44" s="332">
        <f>(M11+M18)/SUM(M33:N36)</f>
        <v>923.5</v>
      </c>
      <c r="N44" s="332"/>
      <c r="O44"/>
      <c r="P44"/>
      <c r="Q44"/>
      <c r="R44"/>
    </row>
    <row r="45" spans="1:17" ht="11.25">
      <c r="A45" s="20"/>
      <c r="B45" s="4"/>
      <c r="C45" s="4"/>
      <c r="D45" s="4"/>
      <c r="E45" s="3"/>
      <c r="F45" s="3"/>
      <c r="G45" s="34" t="s">
        <v>24</v>
      </c>
      <c r="H45" s="34" t="s">
        <v>23</v>
      </c>
      <c r="I45" s="28"/>
      <c r="J45" s="34" t="s">
        <v>24</v>
      </c>
      <c r="K45" s="34" t="s">
        <v>23</v>
      </c>
      <c r="L45" s="28"/>
      <c r="M45" s="34" t="s">
        <v>24</v>
      </c>
      <c r="N45" s="35" t="s">
        <v>23</v>
      </c>
      <c r="O45" s="14"/>
      <c r="P45" s="13"/>
      <c r="Q45" s="31"/>
    </row>
    <row r="46" spans="1:22" ht="11.25">
      <c r="A46" s="20"/>
      <c r="B46" s="4"/>
      <c r="C46" s="4"/>
      <c r="D46" s="52"/>
      <c r="E46" s="53"/>
      <c r="F46" s="54" t="s">
        <v>25</v>
      </c>
      <c r="G46" s="76">
        <v>2.5</v>
      </c>
      <c r="H46" s="32">
        <f>G46/SUM($G$46:$G$49)</f>
        <v>0.7142857142857143</v>
      </c>
      <c r="I46" s="28"/>
      <c r="J46" s="76">
        <f>0.5+0.5+0.5</f>
        <v>1.5</v>
      </c>
      <c r="K46" s="32">
        <f>J46/SUM($J$46:$J$49)</f>
        <v>0.6</v>
      </c>
      <c r="L46" s="28"/>
      <c r="M46" s="76">
        <f>0.5+0.5+0.5</f>
        <v>1.5</v>
      </c>
      <c r="N46" s="36">
        <f>M46/SUM($M$46:$M$49)</f>
        <v>0.6</v>
      </c>
      <c r="O46" s="14"/>
      <c r="P46" s="55" t="s">
        <v>84</v>
      </c>
      <c r="Q46" s="51"/>
      <c r="R46" s="55"/>
      <c r="S46" s="55"/>
      <c r="T46" s="55"/>
      <c r="U46" s="55"/>
      <c r="V46" s="55"/>
    </row>
    <row r="47" spans="1:22" ht="11.25">
      <c r="A47" s="20"/>
      <c r="B47" s="4"/>
      <c r="C47" s="4"/>
      <c r="D47" s="52"/>
      <c r="E47" s="53"/>
      <c r="F47" s="54" t="s">
        <v>13</v>
      </c>
      <c r="G47" s="76">
        <v>1</v>
      </c>
      <c r="H47" s="32">
        <f aca="true" t="shared" si="0" ref="H47:H49">G47/SUM($G$46:$G$49)</f>
        <v>0.2857142857142857</v>
      </c>
      <c r="I47" s="28"/>
      <c r="J47" s="76">
        <v>1</v>
      </c>
      <c r="K47" s="32">
        <f aca="true" t="shared" si="1" ref="K47:K49">J47/SUM($J$46:$J$49)</f>
        <v>0.4</v>
      </c>
      <c r="L47" s="28"/>
      <c r="M47" s="76">
        <v>1</v>
      </c>
      <c r="N47" s="36">
        <f aca="true" t="shared" si="2" ref="N47:N49">M47/SUM($M$46:$M$49)</f>
        <v>0.4</v>
      </c>
      <c r="O47" s="14"/>
      <c r="P47" s="55" t="s">
        <v>84</v>
      </c>
      <c r="Q47" s="51"/>
      <c r="R47" s="55"/>
      <c r="S47" s="55"/>
      <c r="T47" s="55"/>
      <c r="U47" s="55"/>
      <c r="V47" s="55"/>
    </row>
    <row r="48" spans="1:22" ht="11.25">
      <c r="A48" s="20"/>
      <c r="B48" s="4"/>
      <c r="C48" s="4"/>
      <c r="D48" s="52"/>
      <c r="E48" s="53"/>
      <c r="F48" s="54" t="s">
        <v>51</v>
      </c>
      <c r="G48" s="76"/>
      <c r="H48" s="32">
        <f t="shared" si="0"/>
        <v>0</v>
      </c>
      <c r="I48" s="28"/>
      <c r="J48" s="76"/>
      <c r="K48" s="32">
        <f t="shared" si="1"/>
        <v>0</v>
      </c>
      <c r="L48" s="28"/>
      <c r="M48" s="76"/>
      <c r="N48" s="36">
        <f t="shared" si="2"/>
        <v>0</v>
      </c>
      <c r="O48" s="14"/>
      <c r="P48" s="55" t="s">
        <v>85</v>
      </c>
      <c r="Q48" s="51"/>
      <c r="R48" s="55"/>
      <c r="S48" s="55"/>
      <c r="T48" s="55"/>
      <c r="U48" s="55"/>
      <c r="V48" s="55"/>
    </row>
    <row r="49" spans="1:22" ht="11.25">
      <c r="A49" s="20"/>
      <c r="B49" s="4"/>
      <c r="C49" s="4"/>
      <c r="D49" s="52"/>
      <c r="E49" s="53"/>
      <c r="F49" s="54" t="s">
        <v>52</v>
      </c>
      <c r="G49" s="76"/>
      <c r="H49" s="32">
        <f t="shared" si="0"/>
        <v>0</v>
      </c>
      <c r="I49" s="28"/>
      <c r="J49" s="76"/>
      <c r="K49" s="32">
        <f t="shared" si="1"/>
        <v>0</v>
      </c>
      <c r="L49" s="28"/>
      <c r="M49" s="76"/>
      <c r="N49" s="36">
        <f t="shared" si="2"/>
        <v>0</v>
      </c>
      <c r="O49" s="14"/>
      <c r="P49" s="55" t="s">
        <v>85</v>
      </c>
      <c r="Q49" s="51"/>
      <c r="R49" s="55"/>
      <c r="S49" s="55"/>
      <c r="T49" s="55"/>
      <c r="U49" s="55"/>
      <c r="V49" s="55"/>
    </row>
    <row r="50" spans="1:14" ht="11.25">
      <c r="A50" s="21" t="s">
        <v>4</v>
      </c>
      <c r="B50" s="22"/>
      <c r="C50" s="4"/>
      <c r="D50" s="4"/>
      <c r="E50" s="3"/>
      <c r="F50" s="3"/>
      <c r="G50" s="8"/>
      <c r="H50" s="8"/>
      <c r="I50" s="3"/>
      <c r="J50" s="8"/>
      <c r="K50" s="8"/>
      <c r="L50" s="3"/>
      <c r="M50" s="8"/>
      <c r="N50" s="25"/>
    </row>
    <row r="51" spans="1:16" ht="11.25">
      <c r="A51" s="21"/>
      <c r="B51" s="22"/>
      <c r="C51" s="4"/>
      <c r="D51" s="4"/>
      <c r="E51" s="3"/>
      <c r="F51" s="63" t="s">
        <v>77</v>
      </c>
      <c r="G51" s="293">
        <v>0.921</v>
      </c>
      <c r="H51" s="294"/>
      <c r="I51" s="72"/>
      <c r="J51" s="293">
        <v>0.895</v>
      </c>
      <c r="K51" s="294"/>
      <c r="L51" s="72"/>
      <c r="M51" s="293">
        <v>0.906</v>
      </c>
      <c r="N51" s="295"/>
      <c r="P51" s="10" t="s">
        <v>87</v>
      </c>
    </row>
    <row r="52" spans="1:16" ht="11.25">
      <c r="A52" s="21"/>
      <c r="B52" s="22"/>
      <c r="C52" s="4"/>
      <c r="D52" s="4"/>
      <c r="E52" s="3"/>
      <c r="F52" s="63" t="s">
        <v>76</v>
      </c>
      <c r="G52" s="293">
        <v>0.145</v>
      </c>
      <c r="H52" s="294"/>
      <c r="I52" s="72"/>
      <c r="J52" s="293">
        <v>0.183</v>
      </c>
      <c r="K52" s="294"/>
      <c r="L52" s="72"/>
      <c r="M52" s="293">
        <v>0.168</v>
      </c>
      <c r="N52" s="295"/>
      <c r="P52" s="10" t="s">
        <v>79</v>
      </c>
    </row>
    <row r="53" spans="1:16" ht="11" customHeight="1">
      <c r="A53" s="20"/>
      <c r="B53" s="23"/>
      <c r="C53" s="4"/>
      <c r="D53" s="4"/>
      <c r="E53" s="3"/>
      <c r="F53" s="29" t="s">
        <v>10</v>
      </c>
      <c r="G53" s="296">
        <v>2</v>
      </c>
      <c r="H53" s="297"/>
      <c r="I53" s="3"/>
      <c r="J53" s="296">
        <v>2</v>
      </c>
      <c r="K53" s="297"/>
      <c r="L53" s="3"/>
      <c r="M53" s="296">
        <v>1</v>
      </c>
      <c r="N53" s="298"/>
      <c r="P53" s="10" t="s">
        <v>34</v>
      </c>
    </row>
    <row r="54" spans="1:16" ht="11.25">
      <c r="A54" s="20"/>
      <c r="B54" s="23"/>
      <c r="C54" s="4"/>
      <c r="D54" s="4"/>
      <c r="E54" s="3"/>
      <c r="F54" s="29" t="s">
        <v>8</v>
      </c>
      <c r="G54" s="296">
        <v>17</v>
      </c>
      <c r="H54" s="297"/>
      <c r="I54" s="14"/>
      <c r="J54" s="296">
        <v>14</v>
      </c>
      <c r="K54" s="297"/>
      <c r="L54" s="14"/>
      <c r="M54" s="296">
        <v>10</v>
      </c>
      <c r="N54" s="298"/>
      <c r="P54" s="10" t="s">
        <v>36</v>
      </c>
    </row>
    <row r="55" spans="1:16" ht="11.25">
      <c r="A55" s="20"/>
      <c r="B55" s="23"/>
      <c r="C55" s="4"/>
      <c r="D55" s="4"/>
      <c r="E55" s="3"/>
      <c r="F55" s="42" t="s">
        <v>11</v>
      </c>
      <c r="G55" s="296">
        <v>20.3</v>
      </c>
      <c r="H55" s="297"/>
      <c r="I55" s="3"/>
      <c r="J55" s="296">
        <v>21.5</v>
      </c>
      <c r="K55" s="297"/>
      <c r="L55" s="3"/>
      <c r="M55" s="296">
        <v>22.6</v>
      </c>
      <c r="N55" s="298"/>
      <c r="P55" s="10" t="s">
        <v>42</v>
      </c>
    </row>
    <row r="56" spans="1:19" ht="11.25">
      <c r="A56" s="20"/>
      <c r="B56" s="22"/>
      <c r="C56" s="4"/>
      <c r="D56" s="4"/>
      <c r="E56" s="3"/>
      <c r="F56" s="29" t="s">
        <v>9</v>
      </c>
      <c r="G56" s="293">
        <v>0.67</v>
      </c>
      <c r="H56" s="294"/>
      <c r="I56" s="3"/>
      <c r="J56" s="293">
        <v>0.5</v>
      </c>
      <c r="K56" s="294"/>
      <c r="L56" s="3"/>
      <c r="M56" s="293">
        <v>0.41</v>
      </c>
      <c r="N56" s="295"/>
      <c r="P56" s="10" t="s">
        <v>37</v>
      </c>
      <c r="Q56"/>
      <c r="R56"/>
      <c r="S56"/>
    </row>
    <row r="57" spans="1:19" ht="11.25">
      <c r="A57" s="20"/>
      <c r="B57" s="22"/>
      <c r="C57" s="4"/>
      <c r="D57" s="4"/>
      <c r="E57" s="27"/>
      <c r="F57" s="29" t="s">
        <v>12</v>
      </c>
      <c r="G57" s="296">
        <v>0</v>
      </c>
      <c r="H57" s="297"/>
      <c r="I57" s="28"/>
      <c r="J57" s="296">
        <v>0</v>
      </c>
      <c r="K57" s="297"/>
      <c r="L57" s="28"/>
      <c r="M57" s="296">
        <v>0</v>
      </c>
      <c r="N57" s="298"/>
      <c r="P57" s="10" t="s">
        <v>38</v>
      </c>
      <c r="Q57"/>
      <c r="R57"/>
      <c r="S57"/>
    </row>
    <row r="58" spans="1:19" ht="11.25">
      <c r="A58" s="20"/>
      <c r="B58" s="22"/>
      <c r="C58" s="4"/>
      <c r="D58" s="4"/>
      <c r="E58" s="3"/>
      <c r="F58" s="29" t="s">
        <v>19</v>
      </c>
      <c r="G58" s="293">
        <v>0.108</v>
      </c>
      <c r="H58" s="294"/>
      <c r="I58" s="28"/>
      <c r="J58" s="293">
        <v>0.114</v>
      </c>
      <c r="K58" s="294"/>
      <c r="L58" s="28"/>
      <c r="M58" s="293">
        <v>0.182</v>
      </c>
      <c r="N58" s="295"/>
      <c r="P58" s="10" t="s">
        <v>39</v>
      </c>
      <c r="Q58"/>
      <c r="R58"/>
      <c r="S58"/>
    </row>
    <row r="59" spans="1:19" ht="11.25">
      <c r="A59" s="20"/>
      <c r="B59" s="22"/>
      <c r="C59" s="4"/>
      <c r="D59" s="4"/>
      <c r="E59" s="3"/>
      <c r="F59" s="29" t="s">
        <v>0</v>
      </c>
      <c r="G59" s="293">
        <v>-0.067</v>
      </c>
      <c r="H59" s="294"/>
      <c r="I59" s="28"/>
      <c r="J59" s="293">
        <v>-0.057</v>
      </c>
      <c r="K59" s="294"/>
      <c r="L59" s="28"/>
      <c r="M59" s="293">
        <v>0.034</v>
      </c>
      <c r="N59" s="295"/>
      <c r="P59" s="10" t="s">
        <v>40</v>
      </c>
      <c r="Q59"/>
      <c r="R59"/>
      <c r="S59"/>
    </row>
    <row r="60" spans="1:14" ht="11.25">
      <c r="A60" s="21" t="s">
        <v>1</v>
      </c>
      <c r="B60" s="28"/>
      <c r="C60" s="28"/>
      <c r="D60" s="28"/>
      <c r="E60" s="28"/>
      <c r="F60" s="28"/>
      <c r="G60" s="28"/>
      <c r="H60" s="28"/>
      <c r="I60" s="28"/>
      <c r="J60" s="28"/>
      <c r="K60" s="28"/>
      <c r="L60" s="28"/>
      <c r="M60" s="28"/>
      <c r="N60" s="33"/>
    </row>
    <row r="61" spans="1:16" ht="11.25">
      <c r="A61" s="37"/>
      <c r="B61" s="28"/>
      <c r="C61" s="28"/>
      <c r="D61" s="28"/>
      <c r="E61" s="28"/>
      <c r="F61" s="28"/>
      <c r="G61" s="28"/>
      <c r="H61" s="28"/>
      <c r="I61" s="28"/>
      <c r="J61" s="28"/>
      <c r="K61" s="28"/>
      <c r="L61" s="28"/>
      <c r="M61" s="28"/>
      <c r="N61" s="33"/>
      <c r="P61" t="s">
        <v>35</v>
      </c>
    </row>
    <row r="62" spans="1:14" ht="11.25">
      <c r="A62" s="38"/>
      <c r="B62" s="23"/>
      <c r="C62" s="23"/>
      <c r="D62" s="23"/>
      <c r="E62" s="23"/>
      <c r="F62" s="23"/>
      <c r="G62" s="23"/>
      <c r="H62" s="23"/>
      <c r="I62" s="23"/>
      <c r="J62" s="23"/>
      <c r="K62" s="23"/>
      <c r="L62" s="23"/>
      <c r="M62" s="23"/>
      <c r="N62" s="24"/>
    </row>
    <row r="63" spans="1:14" ht="11.25">
      <c r="A63" s="38"/>
      <c r="B63" s="23"/>
      <c r="C63" s="23"/>
      <c r="D63" s="23"/>
      <c r="E63" s="23"/>
      <c r="F63" s="23"/>
      <c r="G63" s="23"/>
      <c r="H63" s="23"/>
      <c r="I63" s="23"/>
      <c r="J63" s="23"/>
      <c r="K63" s="23"/>
      <c r="L63" s="23"/>
      <c r="M63" s="23"/>
      <c r="N63" s="24"/>
    </row>
    <row r="64" spans="1:16" ht="11.25">
      <c r="A64" s="38"/>
      <c r="B64" s="23"/>
      <c r="C64" s="23"/>
      <c r="D64" s="23"/>
      <c r="E64" s="23"/>
      <c r="F64" s="23"/>
      <c r="G64" s="23"/>
      <c r="H64" s="23"/>
      <c r="I64" s="23"/>
      <c r="J64" s="23"/>
      <c r="K64" s="23"/>
      <c r="L64" s="23"/>
      <c r="M64" s="23"/>
      <c r="N64" s="24"/>
      <c r="P64" s="44" t="s">
        <v>41</v>
      </c>
    </row>
    <row r="65" spans="1:14" ht="11.25">
      <c r="A65" s="38"/>
      <c r="B65" s="23"/>
      <c r="C65" s="23"/>
      <c r="D65" s="23"/>
      <c r="E65" s="23"/>
      <c r="F65" s="23"/>
      <c r="G65" s="23"/>
      <c r="H65" s="23"/>
      <c r="I65" s="23"/>
      <c r="J65" s="23"/>
      <c r="K65" s="23"/>
      <c r="L65" s="23"/>
      <c r="M65" s="23"/>
      <c r="N65" s="24"/>
    </row>
    <row r="66" spans="1:14" ht="12.75" thickBot="1">
      <c r="A66" s="39"/>
      <c r="B66" s="40"/>
      <c r="C66" s="40"/>
      <c r="D66" s="40"/>
      <c r="E66" s="40"/>
      <c r="F66" s="40"/>
      <c r="G66" s="40"/>
      <c r="H66" s="40"/>
      <c r="I66" s="40"/>
      <c r="J66" s="40"/>
      <c r="K66" s="40"/>
      <c r="L66" s="40"/>
      <c r="M66" s="40"/>
      <c r="N66" s="41"/>
    </row>
  </sheetData>
  <mergeCells count="122">
    <mergeCell ref="G5:H5"/>
    <mergeCell ref="G6:H6"/>
    <mergeCell ref="G7:H7"/>
    <mergeCell ref="G8:H8"/>
    <mergeCell ref="G9:H9"/>
    <mergeCell ref="J9:K9"/>
    <mergeCell ref="G2:N2"/>
    <mergeCell ref="G3:H3"/>
    <mergeCell ref="J3:K3"/>
    <mergeCell ref="M3:N3"/>
    <mergeCell ref="G4:H4"/>
    <mergeCell ref="J4:K4"/>
    <mergeCell ref="M4:N4"/>
    <mergeCell ref="G13:H13"/>
    <mergeCell ref="J13:K13"/>
    <mergeCell ref="M13:N13"/>
    <mergeCell ref="G14:H14"/>
    <mergeCell ref="J14:K14"/>
    <mergeCell ref="M14:N14"/>
    <mergeCell ref="M9:N9"/>
    <mergeCell ref="G11:H11"/>
    <mergeCell ref="J11:K11"/>
    <mergeCell ref="M11:N11"/>
    <mergeCell ref="G12:H12"/>
    <mergeCell ref="J12:K12"/>
    <mergeCell ref="M12:N12"/>
    <mergeCell ref="G18:H18"/>
    <mergeCell ref="J18:K18"/>
    <mergeCell ref="M18:N18"/>
    <mergeCell ref="G19:H19"/>
    <mergeCell ref="J19:K19"/>
    <mergeCell ref="M19:N19"/>
    <mergeCell ref="G15:H15"/>
    <mergeCell ref="J15:K15"/>
    <mergeCell ref="M15:N15"/>
    <mergeCell ref="G16:H16"/>
    <mergeCell ref="J16:K16"/>
    <mergeCell ref="M16:N16"/>
    <mergeCell ref="G22:H22"/>
    <mergeCell ref="J22:K22"/>
    <mergeCell ref="M22:N22"/>
    <mergeCell ref="G24:H24"/>
    <mergeCell ref="J24:K24"/>
    <mergeCell ref="M24:N24"/>
    <mergeCell ref="G20:H20"/>
    <mergeCell ref="J20:K20"/>
    <mergeCell ref="M20:N20"/>
    <mergeCell ref="G21:H21"/>
    <mergeCell ref="J21:K21"/>
    <mergeCell ref="M21:N21"/>
    <mergeCell ref="G28:H28"/>
    <mergeCell ref="J28:K28"/>
    <mergeCell ref="M28:N28"/>
    <mergeCell ref="G29:H29"/>
    <mergeCell ref="J29:K29"/>
    <mergeCell ref="M29:N29"/>
    <mergeCell ref="G25:H25"/>
    <mergeCell ref="J25:K25"/>
    <mergeCell ref="M25:N25"/>
    <mergeCell ref="G27:H27"/>
    <mergeCell ref="J27:K27"/>
    <mergeCell ref="M27:N27"/>
    <mergeCell ref="G34:H34"/>
    <mergeCell ref="J34:K34"/>
    <mergeCell ref="M34:N34"/>
    <mergeCell ref="G35:H35"/>
    <mergeCell ref="J35:K35"/>
    <mergeCell ref="M35:N35"/>
    <mergeCell ref="G31:H31"/>
    <mergeCell ref="J31:K31"/>
    <mergeCell ref="M31:N31"/>
    <mergeCell ref="G33:H33"/>
    <mergeCell ref="J33:K33"/>
    <mergeCell ref="M33:N33"/>
    <mergeCell ref="G39:H39"/>
    <mergeCell ref="J39:K39"/>
    <mergeCell ref="M39:N39"/>
    <mergeCell ref="G40:H40"/>
    <mergeCell ref="J40:K40"/>
    <mergeCell ref="M40:N40"/>
    <mergeCell ref="G36:H36"/>
    <mergeCell ref="J36:K36"/>
    <mergeCell ref="M36:N36"/>
    <mergeCell ref="G38:H38"/>
    <mergeCell ref="J38:K38"/>
    <mergeCell ref="M38:N38"/>
    <mergeCell ref="G51:H51"/>
    <mergeCell ref="J51:K51"/>
    <mergeCell ref="M51:N51"/>
    <mergeCell ref="G52:H52"/>
    <mergeCell ref="J52:K52"/>
    <mergeCell ref="M52:N52"/>
    <mergeCell ref="G41:H41"/>
    <mergeCell ref="J41:K41"/>
    <mergeCell ref="M41:N41"/>
    <mergeCell ref="G43:H43"/>
    <mergeCell ref="J43:K43"/>
    <mergeCell ref="M43:N43"/>
    <mergeCell ref="G59:H59"/>
    <mergeCell ref="J59:K59"/>
    <mergeCell ref="M59:N59"/>
    <mergeCell ref="G44:H44"/>
    <mergeCell ref="J44:K44"/>
    <mergeCell ref="M44:N44"/>
    <mergeCell ref="G57:H57"/>
    <mergeCell ref="J57:K57"/>
    <mergeCell ref="M57:N57"/>
    <mergeCell ref="G58:H58"/>
    <mergeCell ref="J58:K58"/>
    <mergeCell ref="M58:N58"/>
    <mergeCell ref="G55:H55"/>
    <mergeCell ref="J55:K55"/>
    <mergeCell ref="M55:N55"/>
    <mergeCell ref="G56:H56"/>
    <mergeCell ref="J56:K56"/>
    <mergeCell ref="M56:N56"/>
    <mergeCell ref="G53:H53"/>
    <mergeCell ref="J53:K53"/>
    <mergeCell ref="M53:N53"/>
    <mergeCell ref="G54:H54"/>
    <mergeCell ref="J54:K54"/>
    <mergeCell ref="M54:N54"/>
  </mergeCells>
  <printOptions/>
  <pageMargins left="0.25" right="0.25" top="0.75" bottom="0.75" header="0.3" footer="0.3"/>
  <pageSetup fitToHeight="1" fitToWidth="1" horizontalDpi="1200" verticalDpi="1200" orientation="portrait" scale="94" r:id="rId3"/>
  <colBreaks count="1" manualBreakCount="1">
    <brk id="14" max="16383"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48"/>
  <sheetViews>
    <sheetView workbookViewId="0" topLeftCell="A9">
      <selection activeCell="C22" sqref="C22"/>
    </sheetView>
  </sheetViews>
  <sheetFormatPr defaultColWidth="8.875" defaultRowHeight="11.25"/>
  <cols>
    <col min="1" max="1" width="23.125" style="229" customWidth="1"/>
    <col min="2" max="2" width="27.125" style="229" customWidth="1"/>
    <col min="3" max="7" width="6.125" style="229" bestFit="1" customWidth="1"/>
    <col min="8" max="8" width="17.875" style="229" bestFit="1" customWidth="1"/>
    <col min="9" max="16384" width="8.875" style="229" customWidth="1"/>
  </cols>
  <sheetData>
    <row r="1" ht="11.25">
      <c r="A1" s="228" t="s">
        <v>597</v>
      </c>
    </row>
    <row r="2" ht="11.25">
      <c r="A2" s="228" t="s">
        <v>598</v>
      </c>
    </row>
    <row r="3" ht="14.25"/>
    <row r="4" spans="1:2" ht="14.25">
      <c r="A4" s="228" t="s">
        <v>599</v>
      </c>
      <c r="B4" s="228" t="s">
        <v>600</v>
      </c>
    </row>
    <row r="5" ht="14.25">
      <c r="J5" s="253" t="s">
        <v>663</v>
      </c>
    </row>
    <row r="6" spans="1:10" ht="14.25">
      <c r="A6" s="230" t="s">
        <v>601</v>
      </c>
      <c r="B6" s="231" t="s">
        <v>15</v>
      </c>
      <c r="C6" s="232" t="s">
        <v>602</v>
      </c>
      <c r="D6" s="232" t="s">
        <v>603</v>
      </c>
      <c r="E6" s="232" t="s">
        <v>604</v>
      </c>
      <c r="F6" s="232" t="s">
        <v>605</v>
      </c>
      <c r="G6" s="232" t="s">
        <v>606</v>
      </c>
      <c r="H6" s="253" t="s">
        <v>661</v>
      </c>
      <c r="I6" s="254">
        <f>SUM(G9:G47)</f>
        <v>1120</v>
      </c>
      <c r="J6" s="253">
        <f>COUNT(G9:G47)</f>
        <v>39</v>
      </c>
    </row>
    <row r="7" spans="1:10" ht="14.25">
      <c r="A7" s="233" t="s">
        <v>601</v>
      </c>
      <c r="B7" s="234" t="s">
        <v>607</v>
      </c>
      <c r="C7" s="235" t="s">
        <v>608</v>
      </c>
      <c r="D7" s="235" t="s">
        <v>608</v>
      </c>
      <c r="E7" s="235" t="s">
        <v>608</v>
      </c>
      <c r="F7" s="235" t="s">
        <v>608</v>
      </c>
      <c r="G7" s="235" t="s">
        <v>608</v>
      </c>
      <c r="H7" s="253" t="s">
        <v>665</v>
      </c>
      <c r="I7" s="254">
        <f>SUMIF(G9:G47,"&gt;19")</f>
        <v>997</v>
      </c>
      <c r="J7" s="253">
        <f>COUNTIF(G9:G47,"&gt;19")</f>
        <v>17</v>
      </c>
    </row>
    <row r="8" spans="1:10" ht="15" thickBot="1">
      <c r="A8" s="236" t="s">
        <v>609</v>
      </c>
      <c r="B8" s="237" t="s">
        <v>610</v>
      </c>
      <c r="C8" s="232" t="s">
        <v>602</v>
      </c>
      <c r="D8" s="232" t="s">
        <v>603</v>
      </c>
      <c r="E8" s="232" t="s">
        <v>604</v>
      </c>
      <c r="F8" s="232" t="s">
        <v>605</v>
      </c>
      <c r="G8" s="232" t="s">
        <v>606</v>
      </c>
      <c r="H8" s="253" t="s">
        <v>664</v>
      </c>
      <c r="I8" s="255">
        <f>I7/I6</f>
        <v>0.8901785714285714</v>
      </c>
      <c r="J8" s="255">
        <f>J7/J6</f>
        <v>0.4358974358974359</v>
      </c>
    </row>
    <row r="9" spans="1:7" ht="14.25">
      <c r="A9" s="241" t="s">
        <v>632</v>
      </c>
      <c r="B9" s="239" t="s">
        <v>367</v>
      </c>
      <c r="C9" s="240">
        <v>218</v>
      </c>
      <c r="D9" s="240">
        <v>203</v>
      </c>
      <c r="E9" s="240">
        <v>232</v>
      </c>
      <c r="F9" s="240">
        <v>264</v>
      </c>
      <c r="G9" s="240">
        <v>325</v>
      </c>
    </row>
    <row r="10" spans="1:10" ht="14.25">
      <c r="A10" s="241" t="s">
        <v>682</v>
      </c>
      <c r="B10" s="239" t="s">
        <v>335</v>
      </c>
      <c r="C10" s="240">
        <v>114</v>
      </c>
      <c r="D10" s="240">
        <v>114</v>
      </c>
      <c r="E10" s="240">
        <v>113</v>
      </c>
      <c r="F10" s="240">
        <v>111</v>
      </c>
      <c r="G10" s="240">
        <v>112</v>
      </c>
      <c r="H10" s="253" t="s">
        <v>661</v>
      </c>
      <c r="I10" s="254">
        <f>SUM(G9:G47)</f>
        <v>1120</v>
      </c>
      <c r="J10" s="253">
        <f>COUNT(G9:G47)</f>
        <v>39</v>
      </c>
    </row>
    <row r="11" spans="1:10" ht="14.25">
      <c r="A11" s="241" t="s">
        <v>633</v>
      </c>
      <c r="B11" s="239" t="s">
        <v>329</v>
      </c>
      <c r="C11" s="240">
        <v>97</v>
      </c>
      <c r="D11" s="240">
        <v>96</v>
      </c>
      <c r="E11" s="240">
        <v>93</v>
      </c>
      <c r="F11" s="240">
        <v>94</v>
      </c>
      <c r="G11" s="240">
        <v>92</v>
      </c>
      <c r="H11" s="253" t="s">
        <v>681</v>
      </c>
      <c r="I11" s="254">
        <f>SUMIF(G9:G47,"&gt;14")</f>
        <v>1067</v>
      </c>
      <c r="J11" s="253">
        <f>COUNTIF(G9:G47,"&gt;14")</f>
        <v>21</v>
      </c>
    </row>
    <row r="12" spans="1:10" ht="14.25">
      <c r="A12" s="241" t="s">
        <v>634</v>
      </c>
      <c r="B12" s="239" t="s">
        <v>315</v>
      </c>
      <c r="C12" s="240">
        <v>53</v>
      </c>
      <c r="D12" s="240">
        <v>58</v>
      </c>
      <c r="E12" s="240">
        <v>69</v>
      </c>
      <c r="F12" s="240">
        <v>58</v>
      </c>
      <c r="G12" s="240">
        <v>72</v>
      </c>
      <c r="H12" s="253" t="s">
        <v>664</v>
      </c>
      <c r="I12" s="255">
        <f>I11/I10</f>
        <v>0.9526785714285714</v>
      </c>
      <c r="J12" s="255">
        <f>J11/J10</f>
        <v>0.5384615384615384</v>
      </c>
    </row>
    <row r="13" spans="1:10" ht="14.25">
      <c r="A13" s="241" t="s">
        <v>635</v>
      </c>
      <c r="B13" s="239" t="s">
        <v>341</v>
      </c>
      <c r="C13" s="240">
        <v>52</v>
      </c>
      <c r="D13" s="240">
        <v>53</v>
      </c>
      <c r="E13" s="240">
        <v>42</v>
      </c>
      <c r="F13" s="240">
        <v>62</v>
      </c>
      <c r="G13" s="240">
        <v>57</v>
      </c>
      <c r="H13" s="253"/>
      <c r="I13" s="255"/>
      <c r="J13" s="255"/>
    </row>
    <row r="14" spans="1:10" ht="14.25">
      <c r="A14" s="238" t="s">
        <v>636</v>
      </c>
      <c r="B14" s="239" t="s">
        <v>248</v>
      </c>
      <c r="C14" s="240">
        <v>51</v>
      </c>
      <c r="D14" s="240">
        <v>52</v>
      </c>
      <c r="E14" s="240">
        <v>48</v>
      </c>
      <c r="F14" s="240">
        <v>50</v>
      </c>
      <c r="G14" s="240">
        <v>49</v>
      </c>
      <c r="H14" s="253" t="s">
        <v>661</v>
      </c>
      <c r="I14" s="254">
        <f>SUM(G9:G47)</f>
        <v>1120</v>
      </c>
      <c r="J14" s="253">
        <f>COUNT(G9:G47)</f>
        <v>39</v>
      </c>
    </row>
    <row r="15" spans="1:10" ht="14.25">
      <c r="A15" s="241" t="s">
        <v>637</v>
      </c>
      <c r="B15" s="239" t="s">
        <v>114</v>
      </c>
      <c r="C15" s="240">
        <v>50</v>
      </c>
      <c r="D15" s="240">
        <v>41</v>
      </c>
      <c r="E15" s="240">
        <v>43</v>
      </c>
      <c r="F15" s="240">
        <v>42</v>
      </c>
      <c r="G15" s="240">
        <v>43</v>
      </c>
      <c r="H15" s="253" t="s">
        <v>680</v>
      </c>
      <c r="I15" s="254">
        <f>SUMIF(G9:G47,"&gt;9")</f>
        <v>1116</v>
      </c>
      <c r="J15" s="253">
        <f>COUNTIF(G9:G47,"&gt;9")</f>
        <v>25</v>
      </c>
    </row>
    <row r="16" spans="1:10" ht="14.25">
      <c r="A16" s="241" t="s">
        <v>638</v>
      </c>
      <c r="B16" s="239" t="s">
        <v>234</v>
      </c>
      <c r="C16" s="240">
        <v>0</v>
      </c>
      <c r="D16" s="240">
        <v>0</v>
      </c>
      <c r="E16" s="240">
        <v>7</v>
      </c>
      <c r="F16" s="240">
        <v>28</v>
      </c>
      <c r="G16" s="240">
        <v>33</v>
      </c>
      <c r="H16" s="253" t="s">
        <v>664</v>
      </c>
      <c r="I16" s="255">
        <f>I15/I14</f>
        <v>0.9964285714285714</v>
      </c>
      <c r="J16" s="255">
        <f>J15/J14</f>
        <v>0.6410256410256411</v>
      </c>
    </row>
    <row r="17" spans="1:7" ht="14.25">
      <c r="A17" s="238" t="s">
        <v>636</v>
      </c>
      <c r="B17" s="239" t="s">
        <v>639</v>
      </c>
      <c r="C17" s="240">
        <v>0</v>
      </c>
      <c r="D17" s="240">
        <v>0</v>
      </c>
      <c r="E17" s="240">
        <v>0</v>
      </c>
      <c r="F17" s="240">
        <v>0</v>
      </c>
      <c r="G17" s="240">
        <v>27</v>
      </c>
    </row>
    <row r="18" spans="1:7" ht="14.25">
      <c r="A18" s="238" t="s">
        <v>636</v>
      </c>
      <c r="B18" s="239" t="s">
        <v>384</v>
      </c>
      <c r="C18" s="240">
        <v>23</v>
      </c>
      <c r="D18" s="240">
        <v>20</v>
      </c>
      <c r="E18" s="240">
        <v>17</v>
      </c>
      <c r="F18" s="240">
        <v>23</v>
      </c>
      <c r="G18" s="240">
        <v>27</v>
      </c>
    </row>
    <row r="19" spans="1:7" ht="14.25">
      <c r="A19" s="238" t="s">
        <v>640</v>
      </c>
      <c r="B19" s="239" t="s">
        <v>118</v>
      </c>
      <c r="C19" s="240">
        <v>52</v>
      </c>
      <c r="D19" s="240">
        <v>52</v>
      </c>
      <c r="E19" s="240">
        <v>48</v>
      </c>
      <c r="F19" s="240">
        <v>41</v>
      </c>
      <c r="G19" s="240">
        <v>25</v>
      </c>
    </row>
    <row r="20" spans="1:7" ht="11.25">
      <c r="A20" s="238" t="s">
        <v>636</v>
      </c>
      <c r="B20" s="239" t="s">
        <v>254</v>
      </c>
      <c r="C20" s="240">
        <v>27</v>
      </c>
      <c r="D20" s="240">
        <v>31</v>
      </c>
      <c r="E20" s="240">
        <v>18</v>
      </c>
      <c r="F20" s="240">
        <v>25</v>
      </c>
      <c r="G20" s="240">
        <v>25</v>
      </c>
    </row>
    <row r="21" spans="1:7" ht="11.25">
      <c r="A21" s="241" t="s">
        <v>641</v>
      </c>
      <c r="B21" s="239" t="s">
        <v>642</v>
      </c>
      <c r="C21" s="240">
        <v>34</v>
      </c>
      <c r="D21" s="240">
        <v>37</v>
      </c>
      <c r="E21" s="240">
        <v>35</v>
      </c>
      <c r="F21" s="240">
        <v>24</v>
      </c>
      <c r="G21" s="240">
        <v>24</v>
      </c>
    </row>
    <row r="22" spans="1:7" ht="11.25">
      <c r="A22" s="238" t="s">
        <v>636</v>
      </c>
      <c r="B22" s="239" t="s">
        <v>103</v>
      </c>
      <c r="C22" s="240">
        <v>19</v>
      </c>
      <c r="D22" s="240">
        <v>19</v>
      </c>
      <c r="E22" s="240">
        <v>21</v>
      </c>
      <c r="F22" s="240">
        <v>24</v>
      </c>
      <c r="G22" s="240">
        <v>23</v>
      </c>
    </row>
    <row r="23" spans="1:7" ht="11.25">
      <c r="A23" s="241" t="s">
        <v>643</v>
      </c>
      <c r="B23" s="239" t="s">
        <v>359</v>
      </c>
      <c r="C23" s="240">
        <v>24</v>
      </c>
      <c r="D23" s="240">
        <v>30</v>
      </c>
      <c r="E23" s="240">
        <v>50</v>
      </c>
      <c r="F23" s="240">
        <v>28</v>
      </c>
      <c r="G23" s="240">
        <v>22</v>
      </c>
    </row>
    <row r="24" spans="1:7" ht="11.25">
      <c r="A24" s="238" t="s">
        <v>636</v>
      </c>
      <c r="B24" s="239" t="s">
        <v>112</v>
      </c>
      <c r="C24" s="240">
        <v>20</v>
      </c>
      <c r="D24" s="240">
        <v>18</v>
      </c>
      <c r="E24" s="240">
        <v>19</v>
      </c>
      <c r="F24" s="240">
        <v>20</v>
      </c>
      <c r="G24" s="240">
        <v>21</v>
      </c>
    </row>
    <row r="25" spans="1:7" ht="11.25">
      <c r="A25" s="238" t="s">
        <v>644</v>
      </c>
      <c r="B25" s="239" t="s">
        <v>280</v>
      </c>
      <c r="C25" s="240">
        <v>26</v>
      </c>
      <c r="D25" s="240">
        <v>30</v>
      </c>
      <c r="E25" s="240">
        <v>29</v>
      </c>
      <c r="F25" s="240">
        <v>23</v>
      </c>
      <c r="G25" s="240">
        <v>20</v>
      </c>
    </row>
    <row r="26" spans="1:7" ht="11.25">
      <c r="A26" s="238" t="s">
        <v>636</v>
      </c>
      <c r="B26" s="239" t="s">
        <v>348</v>
      </c>
      <c r="C26" s="240">
        <v>20</v>
      </c>
      <c r="D26" s="240">
        <v>27</v>
      </c>
      <c r="E26" s="240">
        <v>38</v>
      </c>
      <c r="F26" s="240">
        <v>33</v>
      </c>
      <c r="G26" s="240">
        <v>18</v>
      </c>
    </row>
    <row r="27" spans="1:7" ht="11.25">
      <c r="A27" s="241" t="s">
        <v>645</v>
      </c>
      <c r="B27" s="239" t="s">
        <v>304</v>
      </c>
      <c r="C27" s="240">
        <v>14</v>
      </c>
      <c r="D27" s="240">
        <v>16</v>
      </c>
      <c r="E27" s="240">
        <v>17</v>
      </c>
      <c r="F27" s="240">
        <v>18</v>
      </c>
      <c r="G27" s="240">
        <v>18</v>
      </c>
    </row>
    <row r="28" spans="1:7" ht="11.25">
      <c r="A28" s="238" t="s">
        <v>644</v>
      </c>
      <c r="B28" s="239" t="s">
        <v>296</v>
      </c>
      <c r="C28" s="240">
        <v>0</v>
      </c>
      <c r="D28" s="240">
        <v>0</v>
      </c>
      <c r="E28" s="240">
        <v>12</v>
      </c>
      <c r="F28" s="240">
        <v>13</v>
      </c>
      <c r="G28" s="240">
        <v>17</v>
      </c>
    </row>
    <row r="29" spans="1:7" ht="11.25">
      <c r="A29" s="238" t="s">
        <v>644</v>
      </c>
      <c r="B29" s="239" t="s">
        <v>140</v>
      </c>
      <c r="C29" s="240">
        <v>17</v>
      </c>
      <c r="D29" s="240">
        <v>14</v>
      </c>
      <c r="E29" s="240">
        <v>14</v>
      </c>
      <c r="F29" s="240">
        <v>15</v>
      </c>
      <c r="G29" s="240">
        <v>17</v>
      </c>
    </row>
    <row r="30" spans="1:7" ht="11.25">
      <c r="A30" s="238" t="s">
        <v>636</v>
      </c>
      <c r="B30" s="239" t="s">
        <v>347</v>
      </c>
      <c r="C30" s="240">
        <v>27</v>
      </c>
      <c r="D30" s="240">
        <v>25</v>
      </c>
      <c r="E30" s="240">
        <v>26</v>
      </c>
      <c r="F30" s="240">
        <v>15</v>
      </c>
      <c r="G30" s="240">
        <v>13</v>
      </c>
    </row>
    <row r="31" spans="1:7" ht="11.25">
      <c r="A31" s="241" t="s">
        <v>646</v>
      </c>
      <c r="B31" s="239" t="s">
        <v>162</v>
      </c>
      <c r="C31" s="240">
        <v>16</v>
      </c>
      <c r="D31" s="240">
        <v>16</v>
      </c>
      <c r="E31" s="240">
        <v>13</v>
      </c>
      <c r="F31" s="240">
        <v>14</v>
      </c>
      <c r="G31" s="240">
        <v>12</v>
      </c>
    </row>
    <row r="32" spans="1:7" ht="11.25">
      <c r="A32" s="238" t="s">
        <v>636</v>
      </c>
      <c r="B32" s="239" t="s">
        <v>451</v>
      </c>
      <c r="C32" s="240">
        <v>0</v>
      </c>
      <c r="D32" s="240">
        <v>0</v>
      </c>
      <c r="E32" s="240">
        <v>0</v>
      </c>
      <c r="F32" s="240">
        <v>5</v>
      </c>
      <c r="G32" s="240">
        <v>12</v>
      </c>
    </row>
    <row r="33" spans="1:7" ht="11.25">
      <c r="A33" s="238" t="s">
        <v>636</v>
      </c>
      <c r="B33" s="239" t="s">
        <v>265</v>
      </c>
      <c r="C33" s="240">
        <v>11</v>
      </c>
      <c r="D33" s="240">
        <v>18</v>
      </c>
      <c r="E33" s="240">
        <v>21</v>
      </c>
      <c r="F33" s="240">
        <v>10</v>
      </c>
      <c r="G33" s="240">
        <v>12</v>
      </c>
    </row>
    <row r="34" spans="1:7" ht="11.25">
      <c r="A34" s="238" t="s">
        <v>644</v>
      </c>
      <c r="B34" s="239" t="s">
        <v>240</v>
      </c>
      <c r="C34" s="240">
        <v>10</v>
      </c>
      <c r="D34" s="240">
        <v>15</v>
      </c>
      <c r="E34" s="240">
        <v>5</v>
      </c>
      <c r="F34" s="240">
        <v>3</v>
      </c>
      <c r="G34" s="240">
        <v>2</v>
      </c>
    </row>
    <row r="35" spans="1:7" ht="11.25">
      <c r="A35" s="238" t="s">
        <v>636</v>
      </c>
      <c r="B35" s="239" t="s">
        <v>647</v>
      </c>
      <c r="C35" s="240">
        <v>0</v>
      </c>
      <c r="D35" s="240">
        <v>0</v>
      </c>
      <c r="E35" s="240">
        <v>0</v>
      </c>
      <c r="F35" s="240">
        <v>0</v>
      </c>
      <c r="G35" s="240">
        <v>1</v>
      </c>
    </row>
    <row r="36" spans="1:7" ht="11.25">
      <c r="A36" s="238" t="s">
        <v>636</v>
      </c>
      <c r="B36" s="239" t="s">
        <v>240</v>
      </c>
      <c r="C36" s="240">
        <v>5</v>
      </c>
      <c r="D36" s="240">
        <v>2</v>
      </c>
      <c r="E36" s="240">
        <v>4</v>
      </c>
      <c r="F36" s="240">
        <v>1</v>
      </c>
      <c r="G36" s="240">
        <v>1</v>
      </c>
    </row>
    <row r="37" spans="1:7" ht="11.25">
      <c r="A37" s="238" t="s">
        <v>644</v>
      </c>
      <c r="B37" s="239" t="s">
        <v>420</v>
      </c>
      <c r="C37" s="240">
        <v>0</v>
      </c>
      <c r="D37" s="240">
        <v>0</v>
      </c>
      <c r="E37" s="240">
        <v>0</v>
      </c>
      <c r="F37" s="240">
        <v>6</v>
      </c>
      <c r="G37" s="240">
        <v>0</v>
      </c>
    </row>
    <row r="38" spans="1:7" ht="11.25">
      <c r="A38" s="238" t="s">
        <v>644</v>
      </c>
      <c r="B38" s="239" t="s">
        <v>648</v>
      </c>
      <c r="C38" s="240">
        <v>0</v>
      </c>
      <c r="D38" s="240">
        <v>0</v>
      </c>
      <c r="E38" s="240">
        <v>0</v>
      </c>
      <c r="F38" s="240">
        <v>0</v>
      </c>
      <c r="G38" s="240">
        <v>0</v>
      </c>
    </row>
    <row r="39" spans="1:7" ht="11.25">
      <c r="A39" s="238" t="s">
        <v>644</v>
      </c>
      <c r="B39" s="239" t="s">
        <v>162</v>
      </c>
      <c r="C39" s="240">
        <v>0</v>
      </c>
      <c r="D39" s="240">
        <v>0</v>
      </c>
      <c r="E39" s="240">
        <v>0</v>
      </c>
      <c r="F39" s="240">
        <v>1</v>
      </c>
      <c r="G39" s="240">
        <v>0</v>
      </c>
    </row>
    <row r="40" spans="1:7" ht="11.25">
      <c r="A40" s="238" t="s">
        <v>644</v>
      </c>
      <c r="B40" s="239" t="s">
        <v>287</v>
      </c>
      <c r="C40" s="240">
        <v>1</v>
      </c>
      <c r="D40" s="240">
        <v>0</v>
      </c>
      <c r="E40" s="240">
        <v>0</v>
      </c>
      <c r="F40" s="240">
        <v>0</v>
      </c>
      <c r="G40" s="240">
        <v>0</v>
      </c>
    </row>
    <row r="41" spans="1:7" ht="11.25">
      <c r="A41" s="238" t="s">
        <v>644</v>
      </c>
      <c r="B41" s="239" t="s">
        <v>290</v>
      </c>
      <c r="C41" s="240">
        <v>1</v>
      </c>
      <c r="D41" s="240">
        <v>0</v>
      </c>
      <c r="E41" s="240">
        <v>0</v>
      </c>
      <c r="F41" s="240">
        <v>0</v>
      </c>
      <c r="G41" s="240">
        <v>0</v>
      </c>
    </row>
    <row r="42" spans="1:7" ht="11.25">
      <c r="A42" s="238" t="s">
        <v>640</v>
      </c>
      <c r="B42" s="239" t="s">
        <v>649</v>
      </c>
      <c r="C42" s="240">
        <v>1</v>
      </c>
      <c r="D42" s="240">
        <v>2</v>
      </c>
      <c r="E42" s="240">
        <v>0</v>
      </c>
      <c r="F42" s="240">
        <v>0</v>
      </c>
      <c r="G42" s="240">
        <v>0</v>
      </c>
    </row>
    <row r="43" spans="1:7" ht="11.25">
      <c r="A43" s="238" t="s">
        <v>640</v>
      </c>
      <c r="B43" s="239" t="s">
        <v>271</v>
      </c>
      <c r="C43" s="240">
        <v>0</v>
      </c>
      <c r="D43" s="240">
        <v>0</v>
      </c>
      <c r="E43" s="240">
        <v>0</v>
      </c>
      <c r="F43" s="240">
        <v>0</v>
      </c>
      <c r="G43" s="240">
        <v>0</v>
      </c>
    </row>
    <row r="44" spans="1:7" ht="11.25">
      <c r="A44" s="238" t="s">
        <v>640</v>
      </c>
      <c r="B44" s="239" t="s">
        <v>313</v>
      </c>
      <c r="C44" s="240">
        <v>1</v>
      </c>
      <c r="D44" s="240">
        <v>0</v>
      </c>
      <c r="E44" s="240">
        <v>0</v>
      </c>
      <c r="F44" s="240">
        <v>0</v>
      </c>
      <c r="G44" s="240">
        <v>0</v>
      </c>
    </row>
    <row r="45" spans="1:7" ht="11.25">
      <c r="A45" s="238" t="s">
        <v>640</v>
      </c>
      <c r="B45" s="239" t="s">
        <v>650</v>
      </c>
      <c r="C45" s="240">
        <v>1</v>
      </c>
      <c r="D45" s="240">
        <v>0</v>
      </c>
      <c r="E45" s="240">
        <v>0</v>
      </c>
      <c r="F45" s="240">
        <v>0</v>
      </c>
      <c r="G45" s="240">
        <v>0</v>
      </c>
    </row>
    <row r="46" spans="1:7" ht="11.25">
      <c r="A46" s="238" t="s">
        <v>640</v>
      </c>
      <c r="B46" s="239" t="s">
        <v>651</v>
      </c>
      <c r="C46" s="240">
        <v>0</v>
      </c>
      <c r="D46" s="240">
        <v>0</v>
      </c>
      <c r="E46" s="240">
        <v>0</v>
      </c>
      <c r="F46" s="240">
        <v>0</v>
      </c>
      <c r="G46" s="240">
        <v>0</v>
      </c>
    </row>
    <row r="47" spans="1:7" ht="11.25">
      <c r="A47" s="238" t="s">
        <v>636</v>
      </c>
      <c r="B47" s="239" t="s">
        <v>652</v>
      </c>
      <c r="C47" s="240">
        <v>16</v>
      </c>
      <c r="D47" s="240">
        <v>14</v>
      </c>
      <c r="E47" s="240">
        <v>0</v>
      </c>
      <c r="F47" s="240">
        <v>0</v>
      </c>
      <c r="G47" s="240">
        <v>0</v>
      </c>
    </row>
    <row r="48" spans="1:7" ht="11.25">
      <c r="A48" s="291" t="s">
        <v>631</v>
      </c>
      <c r="B48" s="291"/>
      <c r="C48" s="240">
        <f>SUM(C9:C47)</f>
        <v>1001</v>
      </c>
      <c r="D48" s="240">
        <f>SUM(D9:D47)</f>
        <v>1003</v>
      </c>
      <c r="E48" s="240">
        <f>SUM(E9:E47)</f>
        <v>1034</v>
      </c>
      <c r="F48" s="240">
        <f>SUM(F9:F47)</f>
        <v>1051</v>
      </c>
      <c r="G48" s="240">
        <f>SUM(G9:G47)</f>
        <v>1120</v>
      </c>
    </row>
  </sheetData>
  <mergeCells count="1">
    <mergeCell ref="A48:B48"/>
  </mergeCells>
  <printOptions/>
  <pageMargins left="0.7" right="0.7" top="0.75" bottom="0.75" header="0.45" footer="0.45"/>
  <pageSetup horizontalDpi="600" verticalDpi="600" orientation="portrait" paperSize="9"/>
  <headerFooter>
    <oddHeader>&amp;L&amp;20Trends in Student Enrollment by Degree, Major, Academic Year and Term&amp;R&amp;D</oddHeader>
    <oddFooter>&amp;RPage &amp;P/&amp;N</oddFooter>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K244"/>
  <sheetViews>
    <sheetView workbookViewId="0" topLeftCell="A19">
      <selection activeCell="F9" sqref="F9"/>
    </sheetView>
  </sheetViews>
  <sheetFormatPr defaultColWidth="8.875" defaultRowHeight="11.25"/>
  <cols>
    <col min="1" max="1" width="29.75390625" style="1" customWidth="1"/>
    <col min="2" max="2" width="7.25390625" style="1" hidden="1" customWidth="1"/>
    <col min="3" max="3" width="4.375" style="83" bestFit="1" customWidth="1"/>
    <col min="4" max="4" width="5.375" style="88" hidden="1" customWidth="1"/>
    <col min="5" max="5" width="2.875" style="129" hidden="1" customWidth="1"/>
    <col min="6" max="6" width="7.00390625" style="129" bestFit="1" customWidth="1"/>
    <col min="7" max="7" width="2.875" style="130" hidden="1" customWidth="1"/>
    <col min="8" max="8" width="5.375" style="1" hidden="1" customWidth="1"/>
    <col min="9" max="9" width="4.375" style="1" hidden="1" customWidth="1"/>
    <col min="10" max="10" width="5.375" style="1" hidden="1" customWidth="1"/>
    <col min="11" max="11" width="4.375" style="1" hidden="1" customWidth="1"/>
    <col min="12" max="12" width="5.375" style="1" hidden="1" customWidth="1"/>
    <col min="13" max="13" width="4.375" style="1" hidden="1" customWidth="1"/>
    <col min="14" max="14" width="2.75390625" style="1" hidden="1" customWidth="1"/>
    <col min="15" max="15" width="4.375" style="1" hidden="1" customWidth="1"/>
    <col min="16" max="16" width="6.875" style="1" hidden="1" customWidth="1"/>
    <col min="17" max="17" width="7.375" style="1" hidden="1" customWidth="1"/>
    <col min="18" max="19" width="23.125" style="1" hidden="1" customWidth="1"/>
    <col min="20" max="20" width="9.125" style="88" bestFit="1" customWidth="1"/>
    <col min="21" max="22" width="9.75390625" style="1" customWidth="1"/>
    <col min="23" max="24" width="10.125" style="1" customWidth="1"/>
    <col min="25" max="25" width="17.00390625" style="1" bestFit="1" customWidth="1"/>
    <col min="26" max="26" width="5.25390625" style="1" customWidth="1"/>
    <col min="27" max="27" width="34.875" style="1" customWidth="1"/>
    <col min="28" max="28" width="19.125" style="1" customWidth="1"/>
    <col min="29" max="29" width="7.375" style="1" customWidth="1"/>
    <col min="30" max="30" width="11.875" style="1" bestFit="1" customWidth="1"/>
    <col min="31" max="31" width="6.625" style="1" customWidth="1"/>
    <col min="32" max="32" width="31.125" style="1" customWidth="1"/>
    <col min="33" max="33" width="19.125" style="1" customWidth="1"/>
    <col min="34" max="34" width="7.00390625" style="1" customWidth="1"/>
    <col min="35" max="35" width="11.875" style="1" bestFit="1" customWidth="1"/>
    <col min="36" max="36" width="5.75390625" style="1" customWidth="1"/>
    <col min="37" max="37" width="34.875" style="1" customWidth="1"/>
    <col min="38" max="38" width="19.125" style="1" customWidth="1"/>
    <col min="39" max="39" width="7.00390625" style="1" customWidth="1"/>
    <col min="40" max="40" width="11.875" style="1" customWidth="1"/>
    <col min="41" max="41" width="8.875" style="1" customWidth="1"/>
    <col min="42" max="42" width="23.375" style="1" customWidth="1"/>
    <col min="43" max="43" width="25.25390625" style="1" customWidth="1"/>
    <col min="44" max="44" width="12.00390625" style="1" customWidth="1"/>
    <col min="45" max="45" width="8.875" style="1" customWidth="1"/>
    <col min="46" max="46" width="26.25390625" style="1" customWidth="1"/>
    <col min="47" max="47" width="24.75390625" style="1" customWidth="1"/>
    <col min="48" max="48" width="14.125" style="1" customWidth="1"/>
    <col min="49" max="71" width="8.875" style="1" customWidth="1"/>
    <col min="72" max="16384" width="8.875" style="1" customWidth="1"/>
  </cols>
  <sheetData>
    <row r="1" spans="1:2" ht="12.25">
      <c r="A1" s="222" t="s">
        <v>594</v>
      </c>
      <c r="B1" s="221"/>
    </row>
    <row r="2" spans="1:2" ht="12.25">
      <c r="A2" s="223" t="s">
        <v>470</v>
      </c>
      <c r="B2" s="221"/>
    </row>
    <row r="3" spans="1:2" ht="12.25">
      <c r="A3" s="224" t="s">
        <v>543</v>
      </c>
      <c r="B3" s="221"/>
    </row>
    <row r="4" spans="1:37" ht="12.25">
      <c r="A4" s="225" t="s">
        <v>592</v>
      </c>
      <c r="B4" s="221"/>
      <c r="AK4" s="1" t="s">
        <v>548</v>
      </c>
    </row>
    <row r="5" spans="1:48" ht="13" thickBot="1">
      <c r="A5" s="226" t="s">
        <v>570</v>
      </c>
      <c r="B5" s="221"/>
      <c r="R5" s="131"/>
      <c r="S5" s="131"/>
      <c r="T5" s="198"/>
      <c r="U5" s="131"/>
      <c r="V5" s="131"/>
      <c r="W5" s="131"/>
      <c r="X5" s="131"/>
      <c r="Y5" s="131"/>
      <c r="Z5" s="131"/>
      <c r="AA5" s="290" t="s">
        <v>223</v>
      </c>
      <c r="AB5" s="290"/>
      <c r="AC5" s="290"/>
      <c r="AD5" s="290"/>
      <c r="AF5" s="290" t="s">
        <v>223</v>
      </c>
      <c r="AG5" s="290"/>
      <c r="AH5" s="290"/>
      <c r="AI5" s="290"/>
      <c r="AK5" s="290" t="s">
        <v>223</v>
      </c>
      <c r="AL5" s="290"/>
      <c r="AM5" s="290"/>
      <c r="AN5" s="290"/>
      <c r="AO5" s="290"/>
      <c r="AP5" s="290" t="s">
        <v>224</v>
      </c>
      <c r="AQ5" s="290"/>
      <c r="AR5" s="290"/>
      <c r="AS5" s="290"/>
      <c r="AT5" s="290" t="s">
        <v>224</v>
      </c>
      <c r="AU5" s="290"/>
      <c r="AV5" s="290"/>
    </row>
    <row r="6" spans="1:88" ht="13" thickBot="1">
      <c r="A6" s="227" t="s">
        <v>593</v>
      </c>
      <c r="B6" s="287" t="s">
        <v>212</v>
      </c>
      <c r="C6" s="287"/>
      <c r="D6" s="287"/>
      <c r="E6" s="287"/>
      <c r="F6" s="287"/>
      <c r="G6" s="288"/>
      <c r="H6" s="286" t="s">
        <v>212</v>
      </c>
      <c r="I6" s="287"/>
      <c r="J6" s="287"/>
      <c r="K6" s="287"/>
      <c r="L6" s="287"/>
      <c r="M6" s="287"/>
      <c r="N6" s="287"/>
      <c r="O6" s="287"/>
      <c r="P6" s="287"/>
      <c r="Q6" s="288"/>
      <c r="R6" s="131"/>
      <c r="S6" s="131"/>
      <c r="T6" s="198"/>
      <c r="U6" s="131"/>
      <c r="V6" s="131"/>
      <c r="W6" s="292" t="s">
        <v>230</v>
      </c>
      <c r="X6" s="292"/>
      <c r="Y6" s="292"/>
      <c r="Z6" s="131"/>
      <c r="AA6" s="290" t="s">
        <v>225</v>
      </c>
      <c r="AB6" s="290"/>
      <c r="AC6" s="290"/>
      <c r="AD6" s="290"/>
      <c r="AE6" s="131"/>
      <c r="AF6" s="290" t="s">
        <v>226</v>
      </c>
      <c r="AG6" s="290"/>
      <c r="AH6" s="290"/>
      <c r="AI6" s="290"/>
      <c r="AJ6" s="131"/>
      <c r="AK6" s="290" t="s">
        <v>227</v>
      </c>
      <c r="AL6" s="290"/>
      <c r="AM6" s="290"/>
      <c r="AN6" s="290"/>
      <c r="AO6" s="290"/>
      <c r="AP6" s="290" t="s">
        <v>225</v>
      </c>
      <c r="AQ6" s="290"/>
      <c r="AR6" s="290"/>
      <c r="AS6" s="290"/>
      <c r="AT6" s="290" t="s">
        <v>226</v>
      </c>
      <c r="AU6" s="290"/>
      <c r="AV6" s="290"/>
      <c r="BW6" s="1" t="s">
        <v>596</v>
      </c>
      <c r="CB6" s="1" t="s">
        <v>547</v>
      </c>
      <c r="CG6" s="1" t="s">
        <v>566</v>
      </c>
      <c r="CJ6" s="1" t="s">
        <v>567</v>
      </c>
    </row>
    <row r="7" spans="2:82" ht="214" thickBot="1">
      <c r="B7" s="132" t="s">
        <v>184</v>
      </c>
      <c r="C7" s="133" t="s">
        <v>186</v>
      </c>
      <c r="D7" s="134" t="s">
        <v>183</v>
      </c>
      <c r="E7" s="135" t="s">
        <v>185</v>
      </c>
      <c r="F7" s="135" t="s">
        <v>222</v>
      </c>
      <c r="G7" s="136" t="s">
        <v>182</v>
      </c>
      <c r="H7" s="132" t="s">
        <v>43</v>
      </c>
      <c r="I7" s="137" t="s">
        <v>217</v>
      </c>
      <c r="J7" s="137" t="s">
        <v>44</v>
      </c>
      <c r="K7" s="137" t="s">
        <v>218</v>
      </c>
      <c r="L7" s="138" t="s">
        <v>45</v>
      </c>
      <c r="M7" s="138" t="s">
        <v>219</v>
      </c>
      <c r="N7" s="135" t="s">
        <v>46</v>
      </c>
      <c r="O7" s="135" t="s">
        <v>220</v>
      </c>
      <c r="P7" s="138" t="s">
        <v>215</v>
      </c>
      <c r="Q7" s="138" t="s">
        <v>221</v>
      </c>
      <c r="R7" s="131" t="s">
        <v>17</v>
      </c>
      <c r="S7" s="131" t="s">
        <v>550</v>
      </c>
      <c r="T7" s="198" t="s">
        <v>551</v>
      </c>
      <c r="U7" s="131"/>
      <c r="V7" s="131" t="s">
        <v>554</v>
      </c>
      <c r="W7" s="131" t="s">
        <v>555</v>
      </c>
      <c r="X7" s="131" t="s">
        <v>553</v>
      </c>
      <c r="Y7" s="131" t="s">
        <v>552</v>
      </c>
      <c r="Z7" s="131"/>
      <c r="AA7" s="157" t="s">
        <v>15</v>
      </c>
      <c r="AB7" s="158" t="s">
        <v>228</v>
      </c>
      <c r="AD7" s="158" t="s">
        <v>229</v>
      </c>
      <c r="AE7" s="131"/>
      <c r="AF7" s="157" t="s">
        <v>15</v>
      </c>
      <c r="AG7" s="158" t="s">
        <v>228</v>
      </c>
      <c r="AI7" s="158" t="s">
        <v>229</v>
      </c>
      <c r="AJ7" s="131"/>
      <c r="AK7" s="157" t="s">
        <v>15</v>
      </c>
      <c r="AL7" s="158" t="s">
        <v>228</v>
      </c>
      <c r="AN7" s="158" t="s">
        <v>229</v>
      </c>
      <c r="AP7" s="1" t="s">
        <v>17</v>
      </c>
      <c r="AQ7" s="1" t="s">
        <v>231</v>
      </c>
      <c r="AR7" s="1" t="s">
        <v>232</v>
      </c>
      <c r="AS7" s="128"/>
      <c r="AT7" s="1" t="s">
        <v>17</v>
      </c>
      <c r="AU7" s="1" t="s">
        <v>231</v>
      </c>
      <c r="AV7" s="1" t="s">
        <v>233</v>
      </c>
      <c r="BU7" s="1" t="s">
        <v>17</v>
      </c>
      <c r="BW7" s="1" t="s">
        <v>545</v>
      </c>
      <c r="BX7" s="1" t="s">
        <v>546</v>
      </c>
      <c r="BY7" s="1" t="s">
        <v>549</v>
      </c>
      <c r="CA7" s="1" t="s">
        <v>545</v>
      </c>
      <c r="CB7" s="1" t="s">
        <v>546</v>
      </c>
      <c r="CC7" s="1" t="s">
        <v>549</v>
      </c>
      <c r="CD7" s="1" t="s">
        <v>60</v>
      </c>
    </row>
    <row r="8" spans="1:89" ht="28.75" thickBot="1">
      <c r="A8" s="175" t="s">
        <v>93</v>
      </c>
      <c r="B8" s="38">
        <f>+Accounting!$G$57</f>
        <v>3</v>
      </c>
      <c r="C8" s="84">
        <f>Accounting!$G$58</f>
        <v>0.075</v>
      </c>
      <c r="D8" s="100">
        <f>Accounting!$G$55</f>
        <v>25.4</v>
      </c>
      <c r="E8" s="139">
        <f>Accounting!$G$54</f>
        <v>26</v>
      </c>
      <c r="F8" s="84">
        <f>E8/D8</f>
        <v>1.0236220472440944</v>
      </c>
      <c r="G8" s="140">
        <f>Accounting!$G$53</f>
        <v>2</v>
      </c>
      <c r="H8" s="141">
        <f>+Accounting!$G$33</f>
        <v>3.0999999999999996</v>
      </c>
      <c r="I8" s="84">
        <f>(H8/(H8+J8+L8+N8))</f>
        <v>0.30097087378640774</v>
      </c>
      <c r="J8" s="92">
        <f>+Accounting!$G$34</f>
        <v>3.3</v>
      </c>
      <c r="K8" s="84">
        <f>(J8/(H8+J8+L8+N8))</f>
        <v>0.32038834951456313</v>
      </c>
      <c r="L8" s="100">
        <f>+Accounting!$G$35</f>
        <v>3.9</v>
      </c>
      <c r="M8" s="84">
        <f>(L8/(H8+J8+L8+N8))</f>
        <v>0.3786407766990292</v>
      </c>
      <c r="N8" s="139">
        <f>+Accounting!$G$36</f>
        <v>0</v>
      </c>
      <c r="O8" s="84">
        <f>(N8/(H8+J8+L8+N8))</f>
        <v>0</v>
      </c>
      <c r="P8" s="117">
        <f>+Accounting!$G$44</f>
        <v>1143.592233009709</v>
      </c>
      <c r="Q8" s="84">
        <v>1.0457278873277185</v>
      </c>
      <c r="R8" s="143" t="s">
        <v>93</v>
      </c>
      <c r="S8" s="197">
        <f>Accounting!G31</f>
        <v>110.02230155361235</v>
      </c>
      <c r="T8" s="205">
        <v>110</v>
      </c>
      <c r="U8" s="206">
        <f>W8*T8</f>
        <v>1313180</v>
      </c>
      <c r="V8" s="207">
        <f>Accounting!G11+Accounting!G18</f>
        <v>11779</v>
      </c>
      <c r="W8" s="208">
        <v>11938</v>
      </c>
      <c r="X8" s="209">
        <f>Accounting!G12</f>
        <v>-0.01</v>
      </c>
      <c r="Y8" s="217">
        <v>0.0136707141037615</v>
      </c>
      <c r="Z8" s="131" t="s">
        <v>482</v>
      </c>
      <c r="AA8" s="159" t="s">
        <v>237</v>
      </c>
      <c r="AB8" s="160">
        <v>-40</v>
      </c>
      <c r="AC8" s="161">
        <v>0.84375</v>
      </c>
      <c r="AD8" s="162">
        <v>230.25</v>
      </c>
      <c r="AE8" s="131" t="s">
        <v>512</v>
      </c>
      <c r="AF8" s="159" t="s">
        <v>237</v>
      </c>
      <c r="AG8" s="160">
        <v>33</v>
      </c>
      <c r="AH8" s="164" t="e">
        <v>#DIV/0!</v>
      </c>
      <c r="AI8" s="162">
        <v>17</v>
      </c>
      <c r="AJ8" s="131" t="s">
        <v>512</v>
      </c>
      <c r="AK8" s="159" t="s">
        <v>237</v>
      </c>
      <c r="AL8" s="160">
        <v>-7</v>
      </c>
      <c r="AM8" s="161">
        <v>0.97265625</v>
      </c>
      <c r="AN8" s="162">
        <v>247.25</v>
      </c>
      <c r="AP8" s="165" t="s">
        <v>93</v>
      </c>
      <c r="AQ8" s="166" t="s">
        <v>234</v>
      </c>
      <c r="AR8" s="167">
        <v>81.33333333333333</v>
      </c>
      <c r="AS8" s="128"/>
      <c r="AT8" s="165" t="s">
        <v>93</v>
      </c>
      <c r="AU8" s="166" t="s">
        <v>234</v>
      </c>
      <c r="AV8" s="167">
        <v>11.5</v>
      </c>
      <c r="BU8" s="1" t="s">
        <v>93</v>
      </c>
      <c r="BW8" s="1">
        <v>1</v>
      </c>
      <c r="BX8" s="1">
        <v>6</v>
      </c>
      <c r="BY8" s="83">
        <f>BW8/BX8</f>
        <v>0.16666666666666666</v>
      </c>
      <c r="CA8" s="1">
        <v>3</v>
      </c>
      <c r="CB8" s="1">
        <v>10</v>
      </c>
      <c r="CC8" s="86">
        <f>CA8/CB8</f>
        <v>0.3</v>
      </c>
      <c r="CD8" s="142">
        <f>SUM(Accounting!G27:H29)</f>
        <v>1295952.69</v>
      </c>
      <c r="CG8" s="1">
        <v>2</v>
      </c>
      <c r="CH8" s="1">
        <v>6</v>
      </c>
      <c r="CJ8" s="1">
        <v>1</v>
      </c>
      <c r="CK8" s="1">
        <v>4</v>
      </c>
    </row>
    <row r="9" spans="1:89" ht="28.75" thickBot="1">
      <c r="A9" s="175" t="s">
        <v>96</v>
      </c>
      <c r="B9" s="38">
        <f>'American Indian Studies'!$G$57</f>
        <v>1</v>
      </c>
      <c r="C9" s="84">
        <f>'American Indian Studies'!$G$58</f>
        <v>0.591</v>
      </c>
      <c r="D9" s="100">
        <f>'American Indian Studies'!$G$55</f>
        <v>26.9</v>
      </c>
      <c r="E9" s="98">
        <f>'American Indian Studies'!$G$54</f>
        <v>5</v>
      </c>
      <c r="F9" s="84">
        <f aca="true" t="shared" si="0" ref="F9:F101">E9/D9</f>
        <v>0.1858736059479554</v>
      </c>
      <c r="G9" s="93">
        <f>'American Indian Studies'!$G$53</f>
        <v>0</v>
      </c>
      <c r="H9" s="141">
        <f>'American Indian Studies'!$G$33</f>
        <v>1</v>
      </c>
      <c r="I9" s="84">
        <f aca="true" t="shared" si="1" ref="I9:I101">(H9/(H9+J9+L9+N9))</f>
        <v>0.42105263157894735</v>
      </c>
      <c r="J9" s="92">
        <f>'American Indian Studies'!$G$34</f>
        <v>1.25</v>
      </c>
      <c r="K9" s="84">
        <f aca="true" t="shared" si="2" ref="K9:K101">(J9/(H9+J9+L9+N9))</f>
        <v>0.5263157894736842</v>
      </c>
      <c r="L9" s="100">
        <f>'American Indian Studies'!$G$35</f>
        <v>0.125</v>
      </c>
      <c r="M9" s="84">
        <f aca="true" t="shared" si="3" ref="M9:M101">(L9/(H9+J9+L9+N9))</f>
        <v>0.05263157894736842</v>
      </c>
      <c r="N9" s="98">
        <f>'American Indian Studies'!$G$36</f>
        <v>0</v>
      </c>
      <c r="O9" s="84">
        <f aca="true" t="shared" si="4" ref="O9:O101">(N9/(H9+J9+L9+N9))</f>
        <v>0</v>
      </c>
      <c r="P9" s="117">
        <f>'American Indian Studies'!$G$44</f>
        <v>360.8421052631579</v>
      </c>
      <c r="Q9" s="84">
        <v>0.7517543859649123</v>
      </c>
      <c r="R9" s="143" t="s">
        <v>408</v>
      </c>
      <c r="S9" s="197">
        <f>'American Indian Studies'!G31</f>
        <v>307.69217036172694</v>
      </c>
      <c r="T9" s="205">
        <v>333</v>
      </c>
      <c r="U9" s="206">
        <f>W9*T9</f>
        <v>285381</v>
      </c>
      <c r="V9" s="207">
        <f>'American Indian Studies'!G11</f>
        <v>857</v>
      </c>
      <c r="W9" s="208">
        <v>857</v>
      </c>
      <c r="X9" s="209">
        <f>'American Indian Studies'!G12</f>
        <v>-0.117</v>
      </c>
      <c r="Y9" s="218">
        <v>-0.256076388888889</v>
      </c>
      <c r="Z9" s="131"/>
      <c r="AA9" s="159"/>
      <c r="AB9" s="160"/>
      <c r="AC9" s="161"/>
      <c r="AD9" s="162"/>
      <c r="AE9" s="131"/>
      <c r="AF9" s="159"/>
      <c r="AG9" s="160"/>
      <c r="AH9" s="164"/>
      <c r="AI9" s="162"/>
      <c r="AJ9" s="131"/>
      <c r="AK9" s="159"/>
      <c r="AL9" s="160"/>
      <c r="AM9" s="161"/>
      <c r="AN9" s="162"/>
      <c r="AP9" s="168"/>
      <c r="AQ9" s="169"/>
      <c r="AR9" s="170"/>
      <c r="AS9" s="128"/>
      <c r="AT9" s="165"/>
      <c r="AU9" s="166"/>
      <c r="AV9" s="167"/>
      <c r="BU9" s="1" t="s">
        <v>96</v>
      </c>
      <c r="BW9" s="1">
        <v>4</v>
      </c>
      <c r="BX9" s="1">
        <v>4</v>
      </c>
      <c r="BY9" s="83">
        <f aca="true" t="shared" si="5" ref="BY9:BY72">BW9/BX9</f>
        <v>1</v>
      </c>
      <c r="CA9" s="1">
        <v>5</v>
      </c>
      <c r="CB9" s="1">
        <v>6</v>
      </c>
      <c r="CC9" s="86">
        <f aca="true" t="shared" si="6" ref="CC9:CC13">CA9/CB9</f>
        <v>0.8333333333333334</v>
      </c>
      <c r="CD9" s="142">
        <f>SUM('American Indian Studies'!G27:H29)</f>
        <v>263692.19</v>
      </c>
      <c r="CG9" s="1">
        <v>2</v>
      </c>
      <c r="CH9" s="1">
        <v>2</v>
      </c>
      <c r="CJ9" s="1">
        <v>3</v>
      </c>
      <c r="CK9" s="1">
        <v>4</v>
      </c>
    </row>
    <row r="10" spans="1:89" ht="28.75" thickBot="1">
      <c r="A10" s="175" t="s">
        <v>187</v>
      </c>
      <c r="B10" s="38">
        <f>Art!$G$57</f>
        <v>2</v>
      </c>
      <c r="C10" s="84">
        <f>Art!$G$58</f>
        <v>0.18</v>
      </c>
      <c r="D10" s="100">
        <f>Art!$G$55</f>
        <v>15.7</v>
      </c>
      <c r="E10" s="98">
        <f>Art!$G$54</f>
        <v>16</v>
      </c>
      <c r="F10" s="84">
        <f t="shared" si="0"/>
        <v>1.019108280254777</v>
      </c>
      <c r="G10" s="93">
        <f>Art!$G$53</f>
        <v>17</v>
      </c>
      <c r="H10" s="141">
        <f>Art!$G$33</f>
        <v>6.1</v>
      </c>
      <c r="I10" s="84">
        <f t="shared" si="1"/>
        <v>0.4728682170542636</v>
      </c>
      <c r="J10" s="92">
        <f>Art!$G$34</f>
        <v>3</v>
      </c>
      <c r="K10" s="84">
        <f t="shared" si="2"/>
        <v>0.23255813953488375</v>
      </c>
      <c r="L10" s="100">
        <f>Art!$G$35</f>
        <v>3.8</v>
      </c>
      <c r="M10" s="84">
        <f t="shared" si="3"/>
        <v>0.29457364341085274</v>
      </c>
      <c r="N10" s="98">
        <f>Art!$G$36</f>
        <v>0</v>
      </c>
      <c r="O10" s="84">
        <f t="shared" si="4"/>
        <v>0</v>
      </c>
      <c r="P10" s="117">
        <f>Art!$G$44</f>
        <v>605.0387596899226</v>
      </c>
      <c r="Q10" s="84">
        <v>0.9095070832847799</v>
      </c>
      <c r="R10" s="143" t="s">
        <v>187</v>
      </c>
      <c r="S10" s="197">
        <f>Art!G31</f>
        <v>155.44150416399742</v>
      </c>
      <c r="T10" s="205">
        <v>161</v>
      </c>
      <c r="U10" s="206">
        <f aca="true" t="shared" si="7" ref="U10:U117">W10*T10</f>
        <v>1256605</v>
      </c>
      <c r="V10" s="207">
        <f>Art!G11</f>
        <v>7805</v>
      </c>
      <c r="W10" s="208">
        <v>7805</v>
      </c>
      <c r="X10" s="209">
        <f>Art!G12</f>
        <v>0.133</v>
      </c>
      <c r="Y10" s="217">
        <v>0.116595135908441</v>
      </c>
      <c r="Z10" s="131" t="s">
        <v>100</v>
      </c>
      <c r="AA10" s="163" t="s">
        <v>266</v>
      </c>
      <c r="AB10" s="160">
        <v>6</v>
      </c>
      <c r="AC10" s="161">
        <v>3</v>
      </c>
      <c r="AD10" s="162">
        <v>4</v>
      </c>
      <c r="AE10" s="131"/>
      <c r="AF10" s="159"/>
      <c r="AG10" s="160"/>
      <c r="AH10" s="164"/>
      <c r="AI10" s="162"/>
      <c r="AJ10" s="131" t="s">
        <v>517</v>
      </c>
      <c r="AK10" s="163" t="s">
        <v>266</v>
      </c>
      <c r="AL10" s="160">
        <v>6</v>
      </c>
      <c r="AM10" s="161">
        <v>3</v>
      </c>
      <c r="AN10" s="162">
        <v>4</v>
      </c>
      <c r="AP10" s="168" t="s">
        <v>187</v>
      </c>
      <c r="AQ10" s="169" t="s">
        <v>239</v>
      </c>
      <c r="AR10" s="170">
        <v>1.3333333333333333</v>
      </c>
      <c r="AS10" s="128"/>
      <c r="AT10" s="165"/>
      <c r="AU10" s="166"/>
      <c r="AV10" s="167"/>
      <c r="BU10" s="1" t="s">
        <v>187</v>
      </c>
      <c r="BW10" s="1">
        <v>1</v>
      </c>
      <c r="BX10" s="1">
        <v>5</v>
      </c>
      <c r="BY10" s="83">
        <f t="shared" si="5"/>
        <v>0.2</v>
      </c>
      <c r="CA10" s="1">
        <v>6</v>
      </c>
      <c r="CB10" s="1">
        <v>8</v>
      </c>
      <c r="CC10" s="86">
        <f t="shared" si="6"/>
        <v>0.75</v>
      </c>
      <c r="CD10" s="142">
        <f>SUM(Art!G27:H29)</f>
        <v>1213220.94</v>
      </c>
      <c r="CG10" s="1">
        <v>3</v>
      </c>
      <c r="CH10" s="1">
        <v>4</v>
      </c>
      <c r="CJ10" s="1">
        <v>3</v>
      </c>
      <c r="CK10" s="1">
        <v>4</v>
      </c>
    </row>
    <row r="11" spans="1:81" ht="28.75" thickBot="1">
      <c r="A11" s="175"/>
      <c r="B11" s="38"/>
      <c r="C11" s="84"/>
      <c r="D11" s="100"/>
      <c r="E11" s="98"/>
      <c r="F11" s="84"/>
      <c r="G11" s="93"/>
      <c r="H11" s="141"/>
      <c r="I11" s="84"/>
      <c r="J11" s="92"/>
      <c r="K11" s="84"/>
      <c r="L11" s="100"/>
      <c r="M11" s="84"/>
      <c r="N11" s="98"/>
      <c r="O11" s="84"/>
      <c r="P11" s="117"/>
      <c r="Q11" s="84"/>
      <c r="R11" s="143"/>
      <c r="S11" s="197"/>
      <c r="T11" s="205"/>
      <c r="U11" s="206"/>
      <c r="V11" s="207"/>
      <c r="W11" s="208"/>
      <c r="X11" s="209"/>
      <c r="Y11" s="217"/>
      <c r="Z11" s="131" t="s">
        <v>100</v>
      </c>
      <c r="AA11" s="163" t="s">
        <v>449</v>
      </c>
      <c r="AB11" s="160">
        <v>8</v>
      </c>
      <c r="AC11" s="172">
        <v>1.2666666666666666</v>
      </c>
      <c r="AD11" s="173">
        <v>34.75</v>
      </c>
      <c r="AE11" s="131"/>
      <c r="AF11" s="159"/>
      <c r="AG11" s="160"/>
      <c r="AH11" s="164"/>
      <c r="AI11" s="162"/>
      <c r="AJ11" s="1" t="s">
        <v>517</v>
      </c>
      <c r="AK11" s="163" t="s">
        <v>449</v>
      </c>
      <c r="AL11" s="160">
        <v>8</v>
      </c>
      <c r="AM11" s="161">
        <v>1.2666666666666666</v>
      </c>
      <c r="AN11" s="162">
        <v>34.75</v>
      </c>
      <c r="AP11" s="38" t="s">
        <v>187</v>
      </c>
      <c r="AQ11" s="23" t="s">
        <v>245</v>
      </c>
      <c r="AR11" s="119">
        <v>16.666666666666668</v>
      </c>
      <c r="AS11" s="128"/>
      <c r="AT11" s="165"/>
      <c r="AU11" s="166"/>
      <c r="AV11" s="167"/>
      <c r="BY11" s="83" t="e">
        <f t="shared" si="5"/>
        <v>#DIV/0!</v>
      </c>
      <c r="CC11" s="86"/>
    </row>
    <row r="12" spans="1:81" ht="28.75" thickBot="1">
      <c r="A12" s="175"/>
      <c r="B12" s="38"/>
      <c r="C12" s="84"/>
      <c r="D12" s="100"/>
      <c r="E12" s="98"/>
      <c r="F12" s="84"/>
      <c r="G12" s="93"/>
      <c r="H12" s="141"/>
      <c r="I12" s="84"/>
      <c r="J12" s="92"/>
      <c r="K12" s="84"/>
      <c r="L12" s="100"/>
      <c r="M12" s="84"/>
      <c r="N12" s="98"/>
      <c r="O12" s="84"/>
      <c r="P12" s="117"/>
      <c r="Q12" s="84"/>
      <c r="R12" s="143"/>
      <c r="S12" s="197"/>
      <c r="T12" s="205"/>
      <c r="U12" s="206"/>
      <c r="V12" s="207"/>
      <c r="W12" s="208"/>
      <c r="X12" s="209"/>
      <c r="Y12" s="217"/>
      <c r="Z12" s="131" t="s">
        <v>100</v>
      </c>
      <c r="AA12" s="163" t="s">
        <v>472</v>
      </c>
      <c r="AB12" s="160">
        <v>-2</v>
      </c>
      <c r="AC12" s="172">
        <v>0.8181818181818182</v>
      </c>
      <c r="AD12" s="173">
        <v>10.25</v>
      </c>
      <c r="AE12" s="131"/>
      <c r="AF12" s="159"/>
      <c r="AG12" s="160"/>
      <c r="AH12" s="164"/>
      <c r="AI12" s="162"/>
      <c r="AJ12" s="1" t="s">
        <v>517</v>
      </c>
      <c r="AK12" s="163" t="s">
        <v>472</v>
      </c>
      <c r="AL12" s="160">
        <v>-2</v>
      </c>
      <c r="AM12" s="161">
        <v>0.8181818181818182</v>
      </c>
      <c r="AN12" s="162">
        <v>10.25</v>
      </c>
      <c r="AO12" s="174"/>
      <c r="AP12" s="39" t="s">
        <v>187</v>
      </c>
      <c r="AQ12" s="40" t="s">
        <v>252</v>
      </c>
      <c r="AR12" s="120">
        <v>2.3333333333333335</v>
      </c>
      <c r="AS12" s="128"/>
      <c r="AT12" s="165"/>
      <c r="AU12" s="166"/>
      <c r="AV12" s="167"/>
      <c r="BY12" s="83" t="e">
        <f t="shared" si="5"/>
        <v>#DIV/0!</v>
      </c>
      <c r="CC12" s="86"/>
    </row>
    <row r="13" spans="1:89" ht="28.75" thickBot="1">
      <c r="A13" s="175" t="s">
        <v>188</v>
      </c>
      <c r="B13" s="38">
        <f>Biology!$G$57</f>
        <v>3</v>
      </c>
      <c r="C13" s="84">
        <f>Biology!$G$58</f>
        <v>0.079</v>
      </c>
      <c r="D13" s="100">
        <f>Biology!$G$55</f>
        <v>22.1</v>
      </c>
      <c r="E13" s="98">
        <f>Biology!$G$54</f>
        <v>23</v>
      </c>
      <c r="F13" s="84">
        <f t="shared" si="0"/>
        <v>1.0407239819004523</v>
      </c>
      <c r="G13" s="93">
        <f>Biology!$G$53</f>
        <v>15</v>
      </c>
      <c r="H13" s="141">
        <f>Biology!$G$33</f>
        <v>13.7</v>
      </c>
      <c r="I13" s="84">
        <f t="shared" si="1"/>
        <v>0.7851002865329513</v>
      </c>
      <c r="J13" s="92">
        <f>Biology!$G$34</f>
        <v>2.75</v>
      </c>
      <c r="K13" s="84">
        <f t="shared" si="2"/>
        <v>0.15759312320916907</v>
      </c>
      <c r="L13" s="100">
        <f>Biology!$G$35</f>
        <v>1</v>
      </c>
      <c r="M13" s="84">
        <f t="shared" si="3"/>
        <v>0.05730659025787966</v>
      </c>
      <c r="N13" s="98">
        <f>Biology!$G$36</f>
        <v>0</v>
      </c>
      <c r="O13" s="84">
        <f t="shared" si="4"/>
        <v>0</v>
      </c>
      <c r="P13" s="117">
        <f>Biology!$G$44</f>
        <v>1182.5787965616046</v>
      </c>
      <c r="Q13" s="84">
        <v>0.9740286038790046</v>
      </c>
      <c r="R13" s="143" t="s">
        <v>103</v>
      </c>
      <c r="S13" s="197">
        <f>Biology!G31</f>
        <v>128.943762841636</v>
      </c>
      <c r="T13" s="205">
        <v>130</v>
      </c>
      <c r="U13" s="206">
        <f t="shared" si="7"/>
        <v>2759380</v>
      </c>
      <c r="V13" s="207">
        <f>Biology!G11+Biology!G18</f>
        <v>20636</v>
      </c>
      <c r="W13" s="208">
        <v>21226</v>
      </c>
      <c r="X13" s="209">
        <f>Biology!G12</f>
        <v>-0.005</v>
      </c>
      <c r="Y13" s="218">
        <v>-0.032146276959555</v>
      </c>
      <c r="Z13" s="131" t="s">
        <v>486</v>
      </c>
      <c r="AA13" s="163" t="s">
        <v>281</v>
      </c>
      <c r="AB13" s="160">
        <v>-6</v>
      </c>
      <c r="AC13" s="161">
        <v>0.6470588235294118</v>
      </c>
      <c r="AD13" s="162">
        <v>14.75</v>
      </c>
      <c r="AE13" s="131"/>
      <c r="AF13" s="159"/>
      <c r="AG13" s="160"/>
      <c r="AH13" s="164"/>
      <c r="AI13" s="162"/>
      <c r="AJ13" s="131" t="s">
        <v>486</v>
      </c>
      <c r="AK13" s="163" t="s">
        <v>281</v>
      </c>
      <c r="AL13" s="160">
        <v>-6</v>
      </c>
      <c r="AM13" s="161">
        <v>0.6470588235294118</v>
      </c>
      <c r="AN13" s="162">
        <v>14.75</v>
      </c>
      <c r="AO13" s="174"/>
      <c r="AP13" s="38" t="s">
        <v>103</v>
      </c>
      <c r="AQ13" s="23" t="s">
        <v>263</v>
      </c>
      <c r="AR13" s="119">
        <v>4.666666666666667</v>
      </c>
      <c r="AS13" s="128"/>
      <c r="AT13" s="165"/>
      <c r="AU13" s="166"/>
      <c r="AV13" s="167"/>
      <c r="BU13" s="1" t="s">
        <v>103</v>
      </c>
      <c r="BW13" s="1">
        <v>1</v>
      </c>
      <c r="BX13" s="1">
        <v>5</v>
      </c>
      <c r="BY13" s="83">
        <f t="shared" si="5"/>
        <v>0.2</v>
      </c>
      <c r="CA13" s="1">
        <v>5</v>
      </c>
      <c r="CB13" s="1">
        <v>10</v>
      </c>
      <c r="CC13" s="86">
        <f t="shared" si="6"/>
        <v>0.5</v>
      </c>
      <c r="CD13" s="142">
        <f>SUM(Biology!G27:H29)</f>
        <v>2660883.49</v>
      </c>
      <c r="CG13" s="1">
        <v>3</v>
      </c>
      <c r="CH13" s="1">
        <v>6</v>
      </c>
      <c r="CJ13" s="1">
        <v>2</v>
      </c>
      <c r="CK13" s="1">
        <v>4</v>
      </c>
    </row>
    <row r="14" spans="1:81" ht="28.75" thickBot="1">
      <c r="A14" s="175"/>
      <c r="B14" s="38"/>
      <c r="C14" s="84"/>
      <c r="D14" s="100"/>
      <c r="E14" s="98"/>
      <c r="F14" s="84"/>
      <c r="G14" s="93"/>
      <c r="H14" s="141"/>
      <c r="I14" s="84"/>
      <c r="J14" s="92"/>
      <c r="K14" s="84"/>
      <c r="L14" s="100"/>
      <c r="M14" s="84"/>
      <c r="N14" s="98"/>
      <c r="O14" s="84"/>
      <c r="P14" s="117"/>
      <c r="Q14" s="84"/>
      <c r="R14" s="143"/>
      <c r="S14" s="197"/>
      <c r="T14" s="205"/>
      <c r="U14" s="206"/>
      <c r="V14" s="207"/>
      <c r="W14" s="208"/>
      <c r="X14" s="209"/>
      <c r="Y14" s="218"/>
      <c r="Z14" s="131" t="s">
        <v>486</v>
      </c>
      <c r="AA14" s="163" t="s">
        <v>268</v>
      </c>
      <c r="AB14" s="160">
        <v>-40</v>
      </c>
      <c r="AC14" s="161">
        <v>0.873015873015873</v>
      </c>
      <c r="AD14" s="162">
        <v>300</v>
      </c>
      <c r="AE14" s="131" t="s">
        <v>486</v>
      </c>
      <c r="AF14" s="163" t="s">
        <v>268</v>
      </c>
      <c r="AG14" s="160">
        <v>4</v>
      </c>
      <c r="AH14" s="164">
        <v>1.2105263157894737</v>
      </c>
      <c r="AI14" s="162">
        <v>21.75</v>
      </c>
      <c r="AJ14" s="131" t="s">
        <v>486</v>
      </c>
      <c r="AK14" s="163" t="s">
        <v>268</v>
      </c>
      <c r="AL14" s="160">
        <v>-36</v>
      </c>
      <c r="AM14" s="161">
        <v>0.8922155688622755</v>
      </c>
      <c r="AN14" s="162">
        <v>321.75</v>
      </c>
      <c r="AO14" s="174"/>
      <c r="AP14" s="168" t="s">
        <v>103</v>
      </c>
      <c r="AQ14" s="169" t="s">
        <v>103</v>
      </c>
      <c r="AR14" s="170">
        <v>132.66666666666666</v>
      </c>
      <c r="AS14" s="128"/>
      <c r="AT14" s="165" t="s">
        <v>103</v>
      </c>
      <c r="AU14" s="166" t="s">
        <v>103</v>
      </c>
      <c r="AV14" s="167">
        <v>9</v>
      </c>
      <c r="BY14" s="83" t="e">
        <f t="shared" si="5"/>
        <v>#DIV/0!</v>
      </c>
      <c r="CC14" s="86"/>
    </row>
    <row r="15" spans="1:81" ht="28.75" thickBot="1">
      <c r="A15" s="175"/>
      <c r="B15" s="38"/>
      <c r="C15" s="84"/>
      <c r="D15" s="100"/>
      <c r="E15" s="98"/>
      <c r="F15" s="84"/>
      <c r="G15" s="93"/>
      <c r="H15" s="141"/>
      <c r="I15" s="84"/>
      <c r="J15" s="92"/>
      <c r="K15" s="84"/>
      <c r="L15" s="100"/>
      <c r="M15" s="84"/>
      <c r="N15" s="98"/>
      <c r="O15" s="84"/>
      <c r="P15" s="117"/>
      <c r="Q15" s="84"/>
      <c r="R15" s="143"/>
      <c r="S15" s="197"/>
      <c r="T15" s="205"/>
      <c r="U15" s="206"/>
      <c r="V15" s="207"/>
      <c r="W15" s="208"/>
      <c r="X15" s="209"/>
      <c r="Y15" s="218"/>
      <c r="Z15" s="131" t="s">
        <v>486</v>
      </c>
      <c r="AA15" s="163" t="s">
        <v>442</v>
      </c>
      <c r="AB15" s="160">
        <v>6</v>
      </c>
      <c r="AC15" s="161">
        <v>1.1363636363636365</v>
      </c>
      <c r="AD15" s="162">
        <v>50.25</v>
      </c>
      <c r="AE15" s="131"/>
      <c r="AF15" s="163"/>
      <c r="AG15" s="160"/>
      <c r="AH15" s="164"/>
      <c r="AI15" s="162"/>
      <c r="AJ15" s="1" t="s">
        <v>486</v>
      </c>
      <c r="AK15" s="163" t="s">
        <v>442</v>
      </c>
      <c r="AL15" s="160">
        <v>6</v>
      </c>
      <c r="AM15" s="161">
        <v>1.1363636363636365</v>
      </c>
      <c r="AN15" s="162">
        <v>50.25</v>
      </c>
      <c r="AO15" s="174"/>
      <c r="AP15" s="38" t="s">
        <v>103</v>
      </c>
      <c r="AQ15" s="23" t="s">
        <v>269</v>
      </c>
      <c r="AR15" s="119">
        <v>8.666666666666666</v>
      </c>
      <c r="AS15" s="128"/>
      <c r="AT15" s="165"/>
      <c r="AU15" s="166"/>
      <c r="AV15" s="167"/>
      <c r="BY15" s="83" t="e">
        <f t="shared" si="5"/>
        <v>#DIV/0!</v>
      </c>
      <c r="CC15" s="86"/>
    </row>
    <row r="16" spans="1:81" ht="28.75" thickBot="1">
      <c r="A16" s="175"/>
      <c r="B16" s="38"/>
      <c r="C16" s="84"/>
      <c r="D16" s="100"/>
      <c r="E16" s="98"/>
      <c r="F16" s="84"/>
      <c r="G16" s="93"/>
      <c r="H16" s="141"/>
      <c r="I16" s="84"/>
      <c r="J16" s="92"/>
      <c r="K16" s="84"/>
      <c r="L16" s="100"/>
      <c r="M16" s="84"/>
      <c r="N16" s="98"/>
      <c r="O16" s="84"/>
      <c r="P16" s="117"/>
      <c r="Q16" s="84"/>
      <c r="R16" s="143"/>
      <c r="S16" s="197"/>
      <c r="T16" s="205"/>
      <c r="U16" s="206"/>
      <c r="V16" s="207"/>
      <c r="W16" s="208"/>
      <c r="X16" s="209"/>
      <c r="Y16" s="218"/>
      <c r="Z16" s="131" t="s">
        <v>486</v>
      </c>
      <c r="AA16" s="163" t="s">
        <v>336</v>
      </c>
      <c r="AB16" s="160">
        <v>-7</v>
      </c>
      <c r="AC16" s="172">
        <v>0.46153846153846156</v>
      </c>
      <c r="AD16" s="173">
        <v>8.5</v>
      </c>
      <c r="AE16" s="131"/>
      <c r="AF16" s="163"/>
      <c r="AG16" s="160"/>
      <c r="AH16" s="164"/>
      <c r="AI16" s="162"/>
      <c r="AJ16" s="1" t="s">
        <v>486</v>
      </c>
      <c r="AK16" s="163" t="s">
        <v>336</v>
      </c>
      <c r="AL16" s="160">
        <v>-7</v>
      </c>
      <c r="AM16" s="161">
        <v>0.46153846153846156</v>
      </c>
      <c r="AN16" s="162">
        <v>8.5</v>
      </c>
      <c r="AO16" s="174"/>
      <c r="AP16" s="39" t="s">
        <v>103</v>
      </c>
      <c r="AQ16" s="40" t="s">
        <v>274</v>
      </c>
      <c r="AR16" s="120">
        <v>3.6666666666666665</v>
      </c>
      <c r="AS16" s="128"/>
      <c r="AT16" s="165"/>
      <c r="AU16" s="166"/>
      <c r="AV16" s="167"/>
      <c r="BY16" s="83" t="e">
        <f t="shared" si="5"/>
        <v>#DIV/0!</v>
      </c>
      <c r="CC16" s="86"/>
    </row>
    <row r="17" spans="1:89" ht="28.75" thickBot="1">
      <c r="A17" s="175" t="s">
        <v>189</v>
      </c>
      <c r="B17" s="38">
        <f>Chemistry!$G$57</f>
        <v>2</v>
      </c>
      <c r="C17" s="84">
        <f>Chemistry!$G$58</f>
        <v>0.096</v>
      </c>
      <c r="D17" s="100">
        <f>Chemistry!$G$55</f>
        <v>21.4</v>
      </c>
      <c r="E17" s="98">
        <f>Chemistry!$G$54</f>
        <v>44</v>
      </c>
      <c r="F17" s="84">
        <f t="shared" si="0"/>
        <v>2.0560747663551404</v>
      </c>
      <c r="G17" s="93">
        <f>Chemistry!$G$53</f>
        <v>6</v>
      </c>
      <c r="H17" s="141">
        <f>Chemistry!$G$33</f>
        <v>7.1</v>
      </c>
      <c r="I17" s="84">
        <f t="shared" si="1"/>
        <v>0.5472061657032755</v>
      </c>
      <c r="J17" s="92">
        <f>Chemistry!$G$34</f>
        <v>5.375</v>
      </c>
      <c r="K17" s="84">
        <f t="shared" si="2"/>
        <v>0.4142581888246628</v>
      </c>
      <c r="L17" s="100">
        <f>Chemistry!$G$35</f>
        <v>0.5</v>
      </c>
      <c r="M17" s="84">
        <f t="shared" si="3"/>
        <v>0.03853564547206166</v>
      </c>
      <c r="N17" s="98">
        <f>Chemistry!$G$36</f>
        <v>0</v>
      </c>
      <c r="O17" s="84">
        <f t="shared" si="4"/>
        <v>0</v>
      </c>
      <c r="P17" s="117">
        <f>Chemistry!$G$44</f>
        <v>1336.2620423892101</v>
      </c>
      <c r="Q17" s="84">
        <v>0.9618592714364123</v>
      </c>
      <c r="R17" s="143" t="s">
        <v>556</v>
      </c>
      <c r="S17" s="197">
        <f>Chemistry!G31</f>
        <v>124.97093724766408</v>
      </c>
      <c r="T17" s="205">
        <v>124.97093724766408</v>
      </c>
      <c r="U17" s="206">
        <f t="shared" si="7"/>
        <v>2166746.11</v>
      </c>
      <c r="V17" s="207"/>
      <c r="W17" s="208">
        <f>Chemistry!G11</f>
        <v>17338</v>
      </c>
      <c r="X17" s="209"/>
      <c r="Y17" s="218">
        <f>Chemistry!G12</f>
        <v>0.004</v>
      </c>
      <c r="Z17" s="131" t="s">
        <v>105</v>
      </c>
      <c r="AA17" s="163" t="s">
        <v>310</v>
      </c>
      <c r="AB17" s="160">
        <v>1</v>
      </c>
      <c r="AC17" s="161">
        <v>1.25</v>
      </c>
      <c r="AD17" s="162">
        <v>5</v>
      </c>
      <c r="AE17" s="131"/>
      <c r="AF17" s="163"/>
      <c r="AG17" s="160"/>
      <c r="AH17" s="164"/>
      <c r="AI17" s="162"/>
      <c r="AJ17" s="131" t="s">
        <v>105</v>
      </c>
      <c r="AK17" s="163" t="s">
        <v>310</v>
      </c>
      <c r="AL17" s="160">
        <v>1</v>
      </c>
      <c r="AM17" s="161">
        <v>1.25</v>
      </c>
      <c r="AN17" s="162">
        <v>5</v>
      </c>
      <c r="AO17" s="174"/>
      <c r="AP17" s="168" t="s">
        <v>255</v>
      </c>
      <c r="AQ17" s="169" t="s">
        <v>278</v>
      </c>
      <c r="AR17" s="170">
        <v>1</v>
      </c>
      <c r="AS17" s="128"/>
      <c r="AT17" s="165"/>
      <c r="AU17" s="166"/>
      <c r="AV17" s="167"/>
      <c r="BU17" s="1" t="s">
        <v>189</v>
      </c>
      <c r="BW17" s="1">
        <v>0</v>
      </c>
      <c r="BX17" s="1">
        <v>5</v>
      </c>
      <c r="BY17" s="83">
        <f t="shared" si="5"/>
        <v>0</v>
      </c>
      <c r="CA17" s="1">
        <v>3</v>
      </c>
      <c r="CB17" s="1">
        <v>8</v>
      </c>
      <c r="CC17" s="86">
        <f>CA17/CB17</f>
        <v>0.375</v>
      </c>
      <c r="CD17" s="142">
        <f>SUM(Chemistry!G27:H29)</f>
        <v>2166746.11</v>
      </c>
      <c r="CG17" s="1">
        <v>1</v>
      </c>
      <c r="CH17" s="1">
        <v>4</v>
      </c>
      <c r="CJ17" s="1">
        <v>2</v>
      </c>
      <c r="CK17" s="1">
        <v>4</v>
      </c>
    </row>
    <row r="18" spans="1:81" ht="28.75" thickBot="1">
      <c r="A18" s="175"/>
      <c r="B18" s="38"/>
      <c r="C18" s="84"/>
      <c r="D18" s="100"/>
      <c r="E18" s="98"/>
      <c r="F18" s="84"/>
      <c r="G18" s="93"/>
      <c r="H18" s="141"/>
      <c r="I18" s="84"/>
      <c r="J18" s="92"/>
      <c r="K18" s="84"/>
      <c r="L18" s="100"/>
      <c r="M18" s="84"/>
      <c r="N18" s="98"/>
      <c r="O18" s="84"/>
      <c r="P18" s="117"/>
      <c r="Q18" s="84"/>
      <c r="R18" s="143"/>
      <c r="S18" s="197"/>
      <c r="T18" s="205"/>
      <c r="U18" s="206"/>
      <c r="V18" s="207"/>
      <c r="W18" s="208"/>
      <c r="X18" s="209"/>
      <c r="Y18" s="218"/>
      <c r="Z18" s="131" t="s">
        <v>105</v>
      </c>
      <c r="AA18" s="163" t="s">
        <v>317</v>
      </c>
      <c r="AB18" s="160">
        <v>15</v>
      </c>
      <c r="AC18" s="161">
        <v>1.2727272727272727</v>
      </c>
      <c r="AD18" s="162">
        <v>62</v>
      </c>
      <c r="AE18" s="131"/>
      <c r="AF18" s="163"/>
      <c r="AG18" s="160"/>
      <c r="AH18" s="164"/>
      <c r="AI18" s="162"/>
      <c r="AJ18" s="131" t="s">
        <v>105</v>
      </c>
      <c r="AK18" s="163" t="s">
        <v>317</v>
      </c>
      <c r="AL18" s="160">
        <v>15</v>
      </c>
      <c r="AM18" s="161">
        <v>1.2727272727272727</v>
      </c>
      <c r="AN18" s="162">
        <v>62</v>
      </c>
      <c r="AO18" s="174"/>
      <c r="AP18" s="38" t="s">
        <v>255</v>
      </c>
      <c r="AQ18" s="23" t="s">
        <v>284</v>
      </c>
      <c r="AR18" s="119">
        <v>15</v>
      </c>
      <c r="AS18" s="128"/>
      <c r="AT18" s="165"/>
      <c r="AU18" s="166"/>
      <c r="AV18" s="167"/>
      <c r="BY18" s="83" t="e">
        <f t="shared" si="5"/>
        <v>#DIV/0!</v>
      </c>
      <c r="CC18" s="86"/>
    </row>
    <row r="19" spans="1:81" ht="28.75" thickBot="1">
      <c r="A19" s="175"/>
      <c r="R19" s="143"/>
      <c r="S19" s="197"/>
      <c r="T19" s="205"/>
      <c r="U19" s="206"/>
      <c r="V19" s="207"/>
      <c r="W19" s="208"/>
      <c r="X19" s="209"/>
      <c r="Y19" s="218"/>
      <c r="Z19" s="131"/>
      <c r="AA19" s="163"/>
      <c r="AB19" s="160"/>
      <c r="AC19" s="161"/>
      <c r="AD19" s="162"/>
      <c r="AE19" s="131"/>
      <c r="AF19" s="163"/>
      <c r="AG19" s="160"/>
      <c r="AH19" s="164"/>
      <c r="AI19" s="162"/>
      <c r="AJ19" s="131"/>
      <c r="AK19" s="163"/>
      <c r="AL19" s="160"/>
      <c r="AM19" s="161"/>
      <c r="AN19" s="162"/>
      <c r="AO19" s="174"/>
      <c r="AP19" s="38" t="s">
        <v>255</v>
      </c>
      <c r="AQ19" s="23" t="s">
        <v>269</v>
      </c>
      <c r="AR19" s="119">
        <v>1</v>
      </c>
      <c r="AS19" s="128"/>
      <c r="AT19" s="165"/>
      <c r="AU19" s="166"/>
      <c r="AV19" s="167"/>
      <c r="BY19" s="83" t="e">
        <f t="shared" si="5"/>
        <v>#DIV/0!</v>
      </c>
      <c r="CC19" s="86"/>
    </row>
    <row r="20" spans="1:89" ht="28.75" thickBot="1">
      <c r="A20" s="175" t="s">
        <v>168</v>
      </c>
      <c r="B20" s="38">
        <f>Physics!$G$57</f>
        <v>0</v>
      </c>
      <c r="C20" s="84">
        <f>Physics!$G$58</f>
        <v>0.132</v>
      </c>
      <c r="D20" s="100">
        <f>Physics!$G$55</f>
        <v>21.4</v>
      </c>
      <c r="E20" s="98">
        <f>Physics!$G$54</f>
        <v>25</v>
      </c>
      <c r="F20" s="84">
        <f>E20/D20</f>
        <v>1.1682242990654206</v>
      </c>
      <c r="G20" s="93">
        <f>Physics!$G$53</f>
        <v>5</v>
      </c>
      <c r="H20" s="141">
        <f>Physics!$G$33</f>
        <v>3.1</v>
      </c>
      <c r="I20" s="84">
        <f>(H20/(H20+J20+L20+N20))</f>
        <v>0.607843137254902</v>
      </c>
      <c r="J20" s="92">
        <f>Physics!$G$34</f>
        <v>2</v>
      </c>
      <c r="K20" s="84">
        <f>(J20/(H20+J20+L20+N20))</f>
        <v>0.3921568627450981</v>
      </c>
      <c r="L20" s="100">
        <f>Physics!$G$35</f>
        <v>0</v>
      </c>
      <c r="M20" s="84">
        <f>(L20/(H20+J20+L20+N20))</f>
        <v>0</v>
      </c>
      <c r="N20" s="98">
        <f>Physics!$G$36</f>
        <v>0</v>
      </c>
      <c r="O20" s="84">
        <f>(N20/(H20+J20+L20+N20))</f>
        <v>0</v>
      </c>
      <c r="P20" s="117">
        <f>Physics!$G$44</f>
        <v>1001.372549019608</v>
      </c>
      <c r="Q20" s="84">
        <v>0.8987135307775551</v>
      </c>
      <c r="R20" s="143" t="s">
        <v>168</v>
      </c>
      <c r="S20" s="197">
        <f>Physics!G31</f>
        <v>126.52784805169375</v>
      </c>
      <c r="T20" s="205">
        <v>126.52784805169375</v>
      </c>
      <c r="U20" s="206"/>
      <c r="V20" s="207"/>
      <c r="W20" s="208">
        <v>5107</v>
      </c>
      <c r="X20" s="209"/>
      <c r="Y20" s="218">
        <f>Physics!G12</f>
        <v>-0.011</v>
      </c>
      <c r="Z20" s="131" t="s">
        <v>507</v>
      </c>
      <c r="AA20" s="163" t="s">
        <v>361</v>
      </c>
      <c r="AB20" s="160">
        <v>0</v>
      </c>
      <c r="AC20" s="172">
        <v>1</v>
      </c>
      <c r="AD20" s="173">
        <v>0.5</v>
      </c>
      <c r="AE20" s="131"/>
      <c r="AF20" s="163"/>
      <c r="AG20" s="160"/>
      <c r="AH20" s="164"/>
      <c r="AI20" s="162"/>
      <c r="AJ20" s="1" t="s">
        <v>507</v>
      </c>
      <c r="AK20" s="163" t="s">
        <v>361</v>
      </c>
      <c r="AL20" s="160">
        <v>0</v>
      </c>
      <c r="AM20" s="161">
        <v>1</v>
      </c>
      <c r="AN20" s="162">
        <v>0.5</v>
      </c>
      <c r="AO20" s="174"/>
      <c r="AP20" s="39" t="s">
        <v>255</v>
      </c>
      <c r="AQ20" s="40" t="s">
        <v>301</v>
      </c>
      <c r="AR20" s="120">
        <v>1</v>
      </c>
      <c r="AS20" s="128"/>
      <c r="AT20" s="165"/>
      <c r="AU20" s="166"/>
      <c r="AV20" s="167"/>
      <c r="BU20" s="1" t="s">
        <v>168</v>
      </c>
      <c r="BW20" s="1">
        <v>1</v>
      </c>
      <c r="BX20" s="1">
        <v>5</v>
      </c>
      <c r="BY20" s="83">
        <f t="shared" si="5"/>
        <v>0.2</v>
      </c>
      <c r="CA20" s="1">
        <v>3</v>
      </c>
      <c r="CB20" s="1">
        <v>8</v>
      </c>
      <c r="CC20" s="86">
        <f>CA20/CB20</f>
        <v>0.375</v>
      </c>
      <c r="CD20" s="142">
        <f>SUM(Physics!G27:H29)</f>
        <v>646177.72</v>
      </c>
      <c r="CG20" s="1">
        <v>2</v>
      </c>
      <c r="CH20" s="1">
        <v>4</v>
      </c>
      <c r="CJ20" s="1">
        <v>1</v>
      </c>
      <c r="CK20" s="1">
        <v>4</v>
      </c>
    </row>
    <row r="21" spans="1:81" ht="28.75" thickBot="1">
      <c r="A21" s="175"/>
      <c r="B21" s="38"/>
      <c r="C21" s="84"/>
      <c r="D21" s="100"/>
      <c r="E21" s="98"/>
      <c r="F21" s="84"/>
      <c r="G21" s="93"/>
      <c r="H21" s="141"/>
      <c r="I21" s="84"/>
      <c r="J21" s="92"/>
      <c r="K21" s="84"/>
      <c r="L21" s="100"/>
      <c r="M21" s="84"/>
      <c r="N21" s="98"/>
      <c r="O21" s="84"/>
      <c r="P21" s="117"/>
      <c r="Q21" s="84"/>
      <c r="R21" s="143"/>
      <c r="S21" s="197"/>
      <c r="T21" s="205"/>
      <c r="U21" s="206"/>
      <c r="V21" s="207"/>
      <c r="W21" s="208"/>
      <c r="X21" s="209"/>
      <c r="Y21" s="218"/>
      <c r="Z21" s="131" t="s">
        <v>507</v>
      </c>
      <c r="AA21" s="163" t="s">
        <v>369</v>
      </c>
      <c r="AB21" s="160">
        <v>-2</v>
      </c>
      <c r="AC21" s="172">
        <v>0.875</v>
      </c>
      <c r="AD21" s="173">
        <v>13.25</v>
      </c>
      <c r="AE21" s="131"/>
      <c r="AF21" s="163"/>
      <c r="AG21" s="160"/>
      <c r="AH21" s="164"/>
      <c r="AI21" s="162"/>
      <c r="AJ21" s="1" t="s">
        <v>507</v>
      </c>
      <c r="AK21" s="163" t="s">
        <v>369</v>
      </c>
      <c r="AL21" s="160">
        <v>-2</v>
      </c>
      <c r="AM21" s="161">
        <v>0.875</v>
      </c>
      <c r="AN21" s="162">
        <v>13.25</v>
      </c>
      <c r="AO21" s="174"/>
      <c r="AP21" s="168" t="s">
        <v>255</v>
      </c>
      <c r="AQ21" s="169" t="s">
        <v>168</v>
      </c>
      <c r="AR21" s="170">
        <v>2.3333333333333335</v>
      </c>
      <c r="AS21" s="128"/>
      <c r="AT21" s="165"/>
      <c r="AU21" s="166"/>
      <c r="AV21" s="167"/>
      <c r="BY21" s="83" t="e">
        <f t="shared" si="5"/>
        <v>#DIV/0!</v>
      </c>
      <c r="CC21" s="86"/>
    </row>
    <row r="22" spans="1:89" ht="28.75" thickBot="1">
      <c r="A22" s="175" t="s">
        <v>190</v>
      </c>
      <c r="B22" s="38">
        <f>Chicanx!$G$57</f>
        <v>0</v>
      </c>
      <c r="C22" s="84">
        <f>Chicanx!$G$58</f>
        <v>0.2</v>
      </c>
      <c r="D22" s="100">
        <f>Chicanx!$G$55</f>
        <v>26.9</v>
      </c>
      <c r="E22" s="98">
        <f>Chicanx!$G$54</f>
        <v>35</v>
      </c>
      <c r="F22" s="84">
        <f t="shared" si="0"/>
        <v>1.3011152416356877</v>
      </c>
      <c r="G22" s="93">
        <f>Chicanx!$G$53</f>
        <v>0</v>
      </c>
      <c r="H22" s="141">
        <f>Chicanx!$G$33</f>
        <v>0.6</v>
      </c>
      <c r="I22" s="84">
        <f t="shared" si="1"/>
        <v>0.3243243243243243</v>
      </c>
      <c r="J22" s="92">
        <f>Chicanx!$G$34</f>
        <v>1.25</v>
      </c>
      <c r="K22" s="84">
        <f t="shared" si="2"/>
        <v>0.6756756756756757</v>
      </c>
      <c r="L22" s="100">
        <f>Chicanx!$G$35</f>
        <v>0</v>
      </c>
      <c r="M22" s="84">
        <f t="shared" si="3"/>
        <v>0</v>
      </c>
      <c r="N22" s="98">
        <f>Chicanx!$G$36</f>
        <v>0</v>
      </c>
      <c r="O22" s="84">
        <f t="shared" si="4"/>
        <v>0</v>
      </c>
      <c r="P22" s="117">
        <f>Chicanx!$G$44</f>
        <v>915.1351351351351</v>
      </c>
      <c r="Q22" s="84">
        <v>1.0785328640366942</v>
      </c>
      <c r="R22" s="143" t="s">
        <v>413</v>
      </c>
      <c r="S22" s="197">
        <f>Chicanx!G31</f>
        <v>165.63148848198463</v>
      </c>
      <c r="T22" s="205">
        <v>165.63148848198463</v>
      </c>
      <c r="U22" s="206">
        <f>W22*T22</f>
        <v>286211.2120968694</v>
      </c>
      <c r="V22" s="207">
        <f>Chicanx!G11</f>
        <v>1693</v>
      </c>
      <c r="W22" s="208">
        <v>1728</v>
      </c>
      <c r="X22" s="209">
        <f>Chicanx!G12</f>
        <v>-0.004</v>
      </c>
      <c r="Y22" s="218">
        <v>-0.00460829493087556</v>
      </c>
      <c r="Z22" s="131"/>
      <c r="AA22" s="163"/>
      <c r="AB22" s="160"/>
      <c r="AC22" s="161"/>
      <c r="AD22" s="162"/>
      <c r="AE22" s="131"/>
      <c r="AF22" s="163"/>
      <c r="AG22" s="160"/>
      <c r="AH22" s="164"/>
      <c r="AI22" s="162"/>
      <c r="AK22" s="163"/>
      <c r="AL22" s="160"/>
      <c r="AM22" s="161"/>
      <c r="AN22" s="162"/>
      <c r="AO22" s="174"/>
      <c r="AP22" s="38"/>
      <c r="AQ22" s="23"/>
      <c r="AR22" s="119"/>
      <c r="AS22" s="128"/>
      <c r="AT22" s="165"/>
      <c r="AU22" s="166"/>
      <c r="AV22" s="167"/>
      <c r="BU22" s="1" t="s">
        <v>106</v>
      </c>
      <c r="BW22" s="1">
        <v>2</v>
      </c>
      <c r="BX22" s="1">
        <v>4</v>
      </c>
      <c r="BY22" s="83">
        <f t="shared" si="5"/>
        <v>0.5</v>
      </c>
      <c r="CA22" s="1">
        <v>2</v>
      </c>
      <c r="CB22" s="1">
        <v>6</v>
      </c>
      <c r="CC22" s="86">
        <f>CA22/CB22</f>
        <v>0.3333333333333333</v>
      </c>
      <c r="CD22" s="142">
        <f>SUM(Chicanx!G27:H29)</f>
        <v>280414.11</v>
      </c>
      <c r="CG22" s="1">
        <v>1</v>
      </c>
      <c r="CH22" s="1">
        <v>2</v>
      </c>
      <c r="CJ22" s="1">
        <v>1</v>
      </c>
      <c r="CK22" s="1">
        <v>4</v>
      </c>
    </row>
    <row r="23" spans="1:89" ht="28.75" thickBot="1">
      <c r="A23" s="175" t="s">
        <v>108</v>
      </c>
      <c r="B23" s="38">
        <f>CDST!$G$57</f>
        <v>7</v>
      </c>
      <c r="C23" s="84">
        <f>CDST!$G$58</f>
        <v>0.436</v>
      </c>
      <c r="D23" s="100">
        <f>CDST!$G$55</f>
        <v>25.5</v>
      </c>
      <c r="E23" s="98">
        <f>CDST!$G$54</f>
        <v>10</v>
      </c>
      <c r="F23" s="84">
        <f>E23/D23</f>
        <v>0.39215686274509803</v>
      </c>
      <c r="G23" s="93">
        <f>CDST!$G$53</f>
        <v>1</v>
      </c>
      <c r="H23" s="141">
        <f>CDST!$G$33</f>
        <v>1.4</v>
      </c>
      <c r="I23" s="84">
        <f>(H23/(H23+J23+L23+N23))</f>
        <v>0.27184466019417475</v>
      </c>
      <c r="J23" s="92">
        <f>CDST!$G$34</f>
        <v>2.375</v>
      </c>
      <c r="K23" s="84">
        <f>(J23/(H23+J23+L23+N23))</f>
        <v>0.4611650485436893</v>
      </c>
      <c r="L23" s="100">
        <f>CDST!$G$35</f>
        <v>1.375</v>
      </c>
      <c r="M23" s="84">
        <f>(L23/(H23+J23+L23+N23))</f>
        <v>0.2669902912621359</v>
      </c>
      <c r="N23" s="98">
        <f>CDST!$G$36</f>
        <v>0</v>
      </c>
      <c r="O23" s="84">
        <f>(N23/(H23+J23+L23+N23))</f>
        <v>0</v>
      </c>
      <c r="P23" s="117">
        <f>CDST!$G$44</f>
        <v>316.8932038834951</v>
      </c>
      <c r="Q23" s="84">
        <v>0.7381052885485135</v>
      </c>
      <c r="R23" s="143" t="s">
        <v>417</v>
      </c>
      <c r="S23" s="197">
        <f>CDST!G31</f>
        <v>163.17786151960786</v>
      </c>
      <c r="T23" s="205">
        <v>163.17786151960786</v>
      </c>
      <c r="U23" s="206">
        <f>W23*T23</f>
        <v>287193.03627450985</v>
      </c>
      <c r="V23" s="207">
        <f>CDST!G11</f>
        <v>1632</v>
      </c>
      <c r="W23" s="208">
        <v>1760</v>
      </c>
      <c r="X23" s="209">
        <f>CDST!G12</f>
        <v>0.266</v>
      </c>
      <c r="Y23" s="217">
        <v>0.0138248847926268</v>
      </c>
      <c r="Z23" s="131" t="s">
        <v>191</v>
      </c>
      <c r="AA23" s="163" t="s">
        <v>322</v>
      </c>
      <c r="AB23" s="160">
        <v>-25</v>
      </c>
      <c r="AC23" s="161">
        <v>0.75</v>
      </c>
      <c r="AD23" s="162">
        <v>82.5</v>
      </c>
      <c r="AE23" s="131"/>
      <c r="AF23" s="163"/>
      <c r="AG23" s="160"/>
      <c r="AH23" s="164"/>
      <c r="AI23" s="162"/>
      <c r="AJ23" s="131" t="s">
        <v>191</v>
      </c>
      <c r="AK23" s="163" t="s">
        <v>322</v>
      </c>
      <c r="AL23" s="160">
        <v>-25</v>
      </c>
      <c r="AM23" s="161">
        <v>0.75</v>
      </c>
      <c r="AN23" s="162">
        <v>82.5</v>
      </c>
      <c r="AO23" s="174"/>
      <c r="AP23" s="38" t="s">
        <v>108</v>
      </c>
      <c r="AQ23" s="174" t="s">
        <v>108</v>
      </c>
      <c r="AR23" s="119">
        <v>64</v>
      </c>
      <c r="AS23" s="128"/>
      <c r="AT23" s="165"/>
      <c r="AU23" s="166"/>
      <c r="AV23" s="167"/>
      <c r="BU23" s="1" t="s">
        <v>108</v>
      </c>
      <c r="BW23" s="1">
        <v>4</v>
      </c>
      <c r="BX23" s="1">
        <v>5</v>
      </c>
      <c r="BY23" s="83">
        <f t="shared" si="5"/>
        <v>0.8</v>
      </c>
      <c r="CA23" s="1">
        <v>6</v>
      </c>
      <c r="CB23" s="1">
        <v>8</v>
      </c>
      <c r="CC23" s="86">
        <f>CA23/CB23</f>
        <v>0.75</v>
      </c>
      <c r="CD23" s="142">
        <f>SUM(CDST!G27:H29)</f>
        <v>266306.27</v>
      </c>
      <c r="CG23" s="1">
        <v>2</v>
      </c>
      <c r="CH23" s="1">
        <v>4</v>
      </c>
      <c r="CJ23" s="1">
        <v>4</v>
      </c>
      <c r="CK23" s="1">
        <v>4</v>
      </c>
    </row>
    <row r="24" spans="1:89" ht="28.75" thickBot="1">
      <c r="A24" s="175" t="s">
        <v>518</v>
      </c>
      <c r="B24" s="38">
        <f>CMST!$G$57</f>
        <v>0</v>
      </c>
      <c r="C24" s="84">
        <f>CMST!$G$58</f>
        <v>0.038</v>
      </c>
      <c r="D24" s="100">
        <f>CMST!$G$55</f>
        <v>19.1</v>
      </c>
      <c r="E24" s="98">
        <f>CMST!$G$54</f>
        <v>26</v>
      </c>
      <c r="F24" s="84">
        <f t="shared" si="0"/>
        <v>1.3612565445026177</v>
      </c>
      <c r="G24" s="93">
        <f>CMST!$G$53</f>
        <v>25</v>
      </c>
      <c r="H24" s="141">
        <f>CMST!$G$33</f>
        <v>5.1</v>
      </c>
      <c r="I24" s="84">
        <f t="shared" si="1"/>
        <v>0.42500000000000004</v>
      </c>
      <c r="J24" s="92">
        <f>CMST!$G$34</f>
        <v>3.8</v>
      </c>
      <c r="K24" s="84">
        <f t="shared" si="2"/>
        <v>0.3166666666666667</v>
      </c>
      <c r="L24" s="100">
        <f>CMST!$G$35</f>
        <v>1.4</v>
      </c>
      <c r="M24" s="84">
        <f t="shared" si="3"/>
        <v>0.11666666666666668</v>
      </c>
      <c r="N24" s="98">
        <f>CMST!$G$36</f>
        <v>1.7</v>
      </c>
      <c r="O24" s="84">
        <f t="shared" si="4"/>
        <v>0.1416666666666667</v>
      </c>
      <c r="P24" s="117">
        <f>CMST!$G$44</f>
        <v>1124.1666666666667</v>
      </c>
      <c r="Q24" s="84">
        <v>1.119671634557131</v>
      </c>
      <c r="R24" s="143" t="s">
        <v>253</v>
      </c>
      <c r="S24" s="197">
        <f>CMST!G31</f>
        <v>92.84625945144552</v>
      </c>
      <c r="T24" s="205">
        <v>88</v>
      </c>
      <c r="U24" s="206">
        <f t="shared" si="7"/>
        <v>1210088</v>
      </c>
      <c r="V24" s="207">
        <f>CMST!G11+CMST!G18</f>
        <v>13490</v>
      </c>
      <c r="W24" s="208">
        <v>13751</v>
      </c>
      <c r="X24" s="209">
        <f>CMST!G12</f>
        <v>0.014</v>
      </c>
      <c r="Y24" s="218">
        <v>-0.0241981265966505</v>
      </c>
      <c r="Z24" s="131" t="s">
        <v>111</v>
      </c>
      <c r="AA24" s="163" t="s">
        <v>283</v>
      </c>
      <c r="AB24" s="160">
        <v>-3</v>
      </c>
      <c r="AC24" s="161">
        <v>0.9834254143646409</v>
      </c>
      <c r="AD24" s="162">
        <v>184</v>
      </c>
      <c r="AE24" s="131" t="s">
        <v>111</v>
      </c>
      <c r="AF24" s="163" t="s">
        <v>283</v>
      </c>
      <c r="AG24" s="160">
        <v>-6</v>
      </c>
      <c r="AH24" s="164">
        <v>0.8064516129032258</v>
      </c>
      <c r="AI24" s="162">
        <v>24.75</v>
      </c>
      <c r="AJ24" s="131" t="s">
        <v>111</v>
      </c>
      <c r="AK24" s="163" t="s">
        <v>283</v>
      </c>
      <c r="AL24" s="160">
        <v>-9</v>
      </c>
      <c r="AM24" s="161">
        <v>0.9575471698113207</v>
      </c>
      <c r="AN24" s="162">
        <v>208.75</v>
      </c>
      <c r="AO24" s="174"/>
      <c r="AP24" s="165" t="s">
        <v>253</v>
      </c>
      <c r="AQ24" s="166" t="s">
        <v>253</v>
      </c>
      <c r="AR24" s="167">
        <v>94.66666666666667</v>
      </c>
      <c r="AS24" s="128"/>
      <c r="AT24" s="165" t="s">
        <v>253</v>
      </c>
      <c r="AU24" s="166" t="s">
        <v>254</v>
      </c>
      <c r="AV24" s="167">
        <v>9</v>
      </c>
      <c r="BU24" s="1" t="s">
        <v>253</v>
      </c>
      <c r="BW24" s="1">
        <v>2</v>
      </c>
      <c r="BX24" s="1">
        <v>6</v>
      </c>
      <c r="BY24" s="83">
        <f t="shared" si="5"/>
        <v>0.3333333333333333</v>
      </c>
      <c r="CA24" s="1">
        <v>3</v>
      </c>
      <c r="CB24" s="1">
        <v>10</v>
      </c>
      <c r="CC24" s="86">
        <f aca="true" t="shared" si="8" ref="CC24:CC27">CA24/CB24</f>
        <v>0.3</v>
      </c>
      <c r="CD24" s="142">
        <f>SUM(CMST!G27:H29)</f>
        <v>1252496.04</v>
      </c>
      <c r="CG24" s="1">
        <v>3</v>
      </c>
      <c r="CH24" s="1">
        <v>6</v>
      </c>
      <c r="CJ24" s="1">
        <v>0</v>
      </c>
      <c r="CK24" s="1">
        <v>4</v>
      </c>
    </row>
    <row r="25" spans="1:89" ht="28.75" thickBot="1">
      <c r="A25" s="175" t="s">
        <v>112</v>
      </c>
      <c r="B25" s="38">
        <f>ComputerScience!$G$57</f>
        <v>3</v>
      </c>
      <c r="C25" s="84">
        <f>ComputerScience!$G$58</f>
        <v>0.067</v>
      </c>
      <c r="D25" s="100">
        <f>ComputerScience!$G$55</f>
        <v>23.9</v>
      </c>
      <c r="E25" s="98">
        <f>ComputerScience!$G$54</f>
        <v>28</v>
      </c>
      <c r="F25" s="84">
        <f t="shared" si="0"/>
        <v>1.1715481171548119</v>
      </c>
      <c r="G25" s="93">
        <f>ComputerScience!$G$53</f>
        <v>14</v>
      </c>
      <c r="H25" s="141">
        <f>ComputerScience!$G$33</f>
        <v>4.6</v>
      </c>
      <c r="I25" s="84">
        <f t="shared" si="1"/>
        <v>0.3233743409490334</v>
      </c>
      <c r="J25" s="92">
        <f>ComputerScience!$G$34</f>
        <v>7.249999999999999</v>
      </c>
      <c r="K25" s="84">
        <f t="shared" si="2"/>
        <v>0.5096660808435852</v>
      </c>
      <c r="L25" s="100">
        <f>ComputerScience!$G$35</f>
        <v>0.875</v>
      </c>
      <c r="M25" s="84">
        <f t="shared" si="3"/>
        <v>0.06151142355008788</v>
      </c>
      <c r="N25" s="98">
        <f>ComputerScience!$G$36</f>
        <v>1.5</v>
      </c>
      <c r="O25" s="84">
        <f t="shared" si="4"/>
        <v>0.10544815465729351</v>
      </c>
      <c r="P25" s="117">
        <f>ComputerScience!$G$44</f>
        <v>1042.390158172232</v>
      </c>
      <c r="Q25" s="84">
        <v>0.8941807186355967</v>
      </c>
      <c r="R25" s="143" t="s">
        <v>112</v>
      </c>
      <c r="S25" s="197">
        <f>ComputerScience!G31</f>
        <v>128.43540261667118</v>
      </c>
      <c r="T25" s="205">
        <v>127</v>
      </c>
      <c r="U25" s="206">
        <f t="shared" si="7"/>
        <v>1928749</v>
      </c>
      <c r="V25" s="207">
        <f>ComputerScience!G11</f>
        <v>14552</v>
      </c>
      <c r="W25" s="208">
        <v>15187</v>
      </c>
      <c r="X25" s="209">
        <f>ComputerScience!G12</f>
        <v>-0.1</v>
      </c>
      <c r="Y25" s="218">
        <v>-0.226218984052581</v>
      </c>
      <c r="Z25" s="131" t="s">
        <v>492</v>
      </c>
      <c r="AA25" s="163" t="s">
        <v>289</v>
      </c>
      <c r="AB25" s="160">
        <v>-10</v>
      </c>
      <c r="AC25" s="161">
        <v>0.9663299663299664</v>
      </c>
      <c r="AD25" s="162">
        <v>291.5</v>
      </c>
      <c r="AE25" s="131" t="s">
        <v>492</v>
      </c>
      <c r="AF25" s="163" t="s">
        <v>289</v>
      </c>
      <c r="AG25" s="160">
        <v>3</v>
      </c>
      <c r="AH25" s="164">
        <v>1.1666666666666667</v>
      </c>
      <c r="AI25" s="162">
        <v>19.5</v>
      </c>
      <c r="AJ25" s="131" t="s">
        <v>492</v>
      </c>
      <c r="AK25" s="163" t="s">
        <v>289</v>
      </c>
      <c r="AL25" s="160">
        <v>-7</v>
      </c>
      <c r="AM25" s="161">
        <v>0.9777777777777777</v>
      </c>
      <c r="AN25" s="162">
        <v>311</v>
      </c>
      <c r="AO25" s="174"/>
      <c r="AP25" s="165" t="s">
        <v>112</v>
      </c>
      <c r="AQ25" s="166" t="s">
        <v>112</v>
      </c>
      <c r="AR25" s="167">
        <v>79.33333333333333</v>
      </c>
      <c r="AS25" s="128"/>
      <c r="AT25" s="165" t="s">
        <v>112</v>
      </c>
      <c r="AU25" s="166" t="s">
        <v>112</v>
      </c>
      <c r="AV25" s="167">
        <v>5.666666666666667</v>
      </c>
      <c r="BU25" s="1" t="s">
        <v>112</v>
      </c>
      <c r="BW25" s="1">
        <v>2</v>
      </c>
      <c r="BX25" s="1">
        <v>6</v>
      </c>
      <c r="BY25" s="83">
        <f t="shared" si="5"/>
        <v>0.3333333333333333</v>
      </c>
      <c r="CA25" s="1">
        <v>5</v>
      </c>
      <c r="CB25" s="1">
        <v>10</v>
      </c>
      <c r="CC25" s="86">
        <f t="shared" si="8"/>
        <v>0.5</v>
      </c>
      <c r="CD25" s="142">
        <f>SUM(ComputerScience!G27:H29)</f>
        <v>1904440.1500000001</v>
      </c>
      <c r="CG25" s="1">
        <v>3</v>
      </c>
      <c r="CH25" s="1">
        <v>6</v>
      </c>
      <c r="CJ25" s="1">
        <v>2</v>
      </c>
      <c r="CK25" s="1">
        <v>4</v>
      </c>
    </row>
    <row r="26" spans="1:89" ht="28.75" thickBot="1">
      <c r="A26" s="175" t="s">
        <v>193</v>
      </c>
      <c r="B26" s="38">
        <f>Economics!$G$57</f>
        <v>0</v>
      </c>
      <c r="C26" s="84">
        <f>Economics!$G$58</f>
        <v>0.045</v>
      </c>
      <c r="D26" s="100">
        <f>Economics!$G$55</f>
        <v>29.4</v>
      </c>
      <c r="E26" s="98">
        <f>Economics!$G$54</f>
        <v>31</v>
      </c>
      <c r="F26" s="84">
        <f t="shared" si="0"/>
        <v>1.054421768707483</v>
      </c>
      <c r="G26" s="93">
        <f>Economics!$G$53</f>
        <v>5</v>
      </c>
      <c r="H26" s="141">
        <f>Economics!$G$33</f>
        <v>6.2</v>
      </c>
      <c r="I26" s="84">
        <f t="shared" si="1"/>
        <v>0.673913043478261</v>
      </c>
      <c r="J26" s="92">
        <f>Economics!$G$34</f>
        <v>3</v>
      </c>
      <c r="K26" s="84">
        <f t="shared" si="2"/>
        <v>0.32608695652173914</v>
      </c>
      <c r="L26" s="100">
        <f>Economics!$G$35</f>
        <v>0</v>
      </c>
      <c r="M26" s="84">
        <f t="shared" si="3"/>
        <v>0</v>
      </c>
      <c r="N26" s="98">
        <f>Economics!$G$36</f>
        <v>0</v>
      </c>
      <c r="O26" s="84">
        <f t="shared" si="4"/>
        <v>0</v>
      </c>
      <c r="P26" s="117">
        <f>Economics!$G$44</f>
        <v>1132.0652173913045</v>
      </c>
      <c r="Q26" s="84">
        <v>0.8505512454062883</v>
      </c>
      <c r="R26" s="143" t="s">
        <v>193</v>
      </c>
      <c r="S26" s="197">
        <f>Economics!G31</f>
        <v>139.90075084013444</v>
      </c>
      <c r="T26" s="205">
        <v>136</v>
      </c>
      <c r="U26" s="206">
        <f t="shared" si="7"/>
        <v>1420928</v>
      </c>
      <c r="V26" s="207">
        <f>Economics!G11</f>
        <v>10415</v>
      </c>
      <c r="W26" s="208">
        <v>10448</v>
      </c>
      <c r="X26" s="209">
        <f>Economics!G12</f>
        <v>-0.073</v>
      </c>
      <c r="Y26" s="218">
        <v>-0.148075668623614</v>
      </c>
      <c r="Z26" s="131" t="s">
        <v>116</v>
      </c>
      <c r="AA26" s="163" t="s">
        <v>327</v>
      </c>
      <c r="AB26" s="160">
        <v>-7</v>
      </c>
      <c r="AC26" s="161">
        <v>0.8372093023255814</v>
      </c>
      <c r="AD26" s="162">
        <v>44.75</v>
      </c>
      <c r="AE26" s="131" t="s">
        <v>116</v>
      </c>
      <c r="AF26" s="163" t="s">
        <v>327</v>
      </c>
      <c r="AG26" s="160">
        <v>0</v>
      </c>
      <c r="AH26" s="164" t="e">
        <v>#DIV/0!</v>
      </c>
      <c r="AI26" s="162">
        <v>0.5</v>
      </c>
      <c r="AJ26" s="131" t="s">
        <v>116</v>
      </c>
      <c r="AK26" s="163" t="s">
        <v>327</v>
      </c>
      <c r="AL26" s="160">
        <v>-7</v>
      </c>
      <c r="AM26" s="161">
        <v>0.8372093023255814</v>
      </c>
      <c r="AN26" s="162">
        <v>45.25</v>
      </c>
      <c r="AO26" s="174"/>
      <c r="AP26" s="165" t="s">
        <v>193</v>
      </c>
      <c r="AQ26" s="166" t="s">
        <v>193</v>
      </c>
      <c r="AR26" s="167">
        <v>28</v>
      </c>
      <c r="AS26" s="128"/>
      <c r="AT26" s="168"/>
      <c r="AU26" s="169"/>
      <c r="AV26" s="170"/>
      <c r="BU26" s="1" t="s">
        <v>193</v>
      </c>
      <c r="BW26" s="1">
        <v>2</v>
      </c>
      <c r="BX26" s="1">
        <v>5</v>
      </c>
      <c r="BY26" s="83">
        <f t="shared" si="5"/>
        <v>0.4</v>
      </c>
      <c r="CA26" s="1">
        <v>3</v>
      </c>
      <c r="CB26" s="1">
        <v>8</v>
      </c>
      <c r="CC26" s="86">
        <f t="shared" si="8"/>
        <v>0.375</v>
      </c>
      <c r="CD26" s="142">
        <f>SUM(Economics!G27:H29)</f>
        <v>1457066.32</v>
      </c>
      <c r="CG26" s="1">
        <v>2</v>
      </c>
      <c r="CH26" s="1">
        <v>4</v>
      </c>
      <c r="CJ26" s="1">
        <v>1</v>
      </c>
      <c r="CK26" s="1">
        <v>4</v>
      </c>
    </row>
    <row r="27" spans="1:89" ht="28.75" thickBot="1">
      <c r="A27" s="175" t="s">
        <v>118</v>
      </c>
      <c r="B27" s="38">
        <f>Education!$G$57</f>
        <v>5</v>
      </c>
      <c r="C27" s="84">
        <f>Education!$G$58</f>
        <v>0.235</v>
      </c>
      <c r="D27" s="100">
        <f>Education!$G$55</f>
        <v>13.2</v>
      </c>
      <c r="E27" s="98">
        <f>Education!$G$54</f>
        <v>17</v>
      </c>
      <c r="F27" s="84">
        <f t="shared" si="0"/>
        <v>1.2878787878787878</v>
      </c>
      <c r="G27" s="93">
        <f>Education!$G$53</f>
        <v>7</v>
      </c>
      <c r="H27" s="141">
        <f>Education!$G$33</f>
        <v>6.6</v>
      </c>
      <c r="I27" s="84">
        <f t="shared" si="1"/>
        <v>0.42649434571890144</v>
      </c>
      <c r="J27" s="92">
        <f>Education!$G$34</f>
        <v>4.125</v>
      </c>
      <c r="K27" s="84">
        <f t="shared" si="2"/>
        <v>0.2665589660743134</v>
      </c>
      <c r="L27" s="100">
        <f>Education!$G$35</f>
        <v>4.75</v>
      </c>
      <c r="M27" s="84">
        <f t="shared" si="3"/>
        <v>0.30694668820678517</v>
      </c>
      <c r="N27" s="98">
        <f>Education!$G$36</f>
        <v>0</v>
      </c>
      <c r="O27" s="84">
        <f t="shared" si="4"/>
        <v>0</v>
      </c>
      <c r="P27" s="117">
        <f>Education!$G$44</f>
        <v>663.0048465266559</v>
      </c>
      <c r="Q27" s="84">
        <v>1.0935085663307218</v>
      </c>
      <c r="R27" s="143" t="s">
        <v>118</v>
      </c>
      <c r="S27" s="197">
        <f>Education!G31</f>
        <v>262.23212670565306</v>
      </c>
      <c r="T27" s="205">
        <v>262.23212670565306</v>
      </c>
      <c r="U27" s="206">
        <f t="shared" si="7"/>
        <v>3833833.6924366476</v>
      </c>
      <c r="V27" s="207">
        <f>Education!G11+Education!G18</f>
        <v>10260</v>
      </c>
      <c r="W27" s="208">
        <v>14620</v>
      </c>
      <c r="X27" s="209">
        <f>Education!G12</f>
        <v>0.033</v>
      </c>
      <c r="Y27" s="217">
        <v>0.0295049644391241</v>
      </c>
      <c r="Z27" s="131"/>
      <c r="AA27" s="163"/>
      <c r="AB27" s="160"/>
      <c r="AC27" s="161"/>
      <c r="AD27" s="162"/>
      <c r="AE27" s="131" t="s">
        <v>487</v>
      </c>
      <c r="AF27" s="163" t="s">
        <v>251</v>
      </c>
      <c r="AG27" s="160">
        <v>-2</v>
      </c>
      <c r="AH27" s="164">
        <v>0</v>
      </c>
      <c r="AI27" s="162">
        <v>0.5</v>
      </c>
      <c r="AJ27" s="131" t="s">
        <v>487</v>
      </c>
      <c r="AK27" s="163" t="s">
        <v>251</v>
      </c>
      <c r="AL27" s="160">
        <v>-2</v>
      </c>
      <c r="AM27" s="161">
        <v>0</v>
      </c>
      <c r="AN27" s="162">
        <v>0.5</v>
      </c>
      <c r="AO27" s="174"/>
      <c r="AP27" s="168"/>
      <c r="AQ27" s="169"/>
      <c r="AR27" s="170"/>
      <c r="AS27" s="128"/>
      <c r="AT27" s="168"/>
      <c r="AU27" s="169"/>
      <c r="AV27" s="170"/>
      <c r="BU27" s="1" t="s">
        <v>118</v>
      </c>
      <c r="BW27" s="1">
        <v>4</v>
      </c>
      <c r="BX27" s="1">
        <v>6</v>
      </c>
      <c r="BY27" s="83">
        <f t="shared" si="5"/>
        <v>0.6666666666666666</v>
      </c>
      <c r="CA27" s="1">
        <v>7</v>
      </c>
      <c r="CB27" s="1">
        <v>10</v>
      </c>
      <c r="CC27" s="86">
        <f t="shared" si="8"/>
        <v>0.7</v>
      </c>
      <c r="CD27" s="142">
        <f>SUM(Education!G27:H29)</f>
        <v>2690501.62</v>
      </c>
      <c r="CG27" s="1">
        <v>5</v>
      </c>
      <c r="CH27" s="1">
        <v>6</v>
      </c>
      <c r="CJ27" s="1">
        <v>2</v>
      </c>
      <c r="CK27" s="1">
        <v>4</v>
      </c>
    </row>
    <row r="28" spans="1:81" ht="28.75" thickBot="1">
      <c r="A28" s="175"/>
      <c r="B28" s="38"/>
      <c r="C28" s="84"/>
      <c r="D28" s="100"/>
      <c r="E28" s="98"/>
      <c r="F28" s="84"/>
      <c r="G28" s="93"/>
      <c r="H28" s="141"/>
      <c r="I28" s="84"/>
      <c r="J28" s="92"/>
      <c r="K28" s="84"/>
      <c r="L28" s="100"/>
      <c r="M28" s="84"/>
      <c r="N28" s="98"/>
      <c r="O28" s="84"/>
      <c r="P28" s="117"/>
      <c r="Q28" s="84"/>
      <c r="R28" s="143"/>
      <c r="S28" s="197"/>
      <c r="T28" s="205"/>
      <c r="U28" s="206"/>
      <c r="V28" s="207"/>
      <c r="W28" s="208"/>
      <c r="X28" s="209"/>
      <c r="Y28" s="217"/>
      <c r="Z28" s="131" t="s">
        <v>487</v>
      </c>
      <c r="AA28" s="163" t="s">
        <v>291</v>
      </c>
      <c r="AB28" s="160">
        <v>-9</v>
      </c>
      <c r="AC28" s="161">
        <v>0.3076923076923077</v>
      </c>
      <c r="AD28" s="162">
        <v>10.5</v>
      </c>
      <c r="AE28" s="131"/>
      <c r="AF28" s="163"/>
      <c r="AG28" s="160"/>
      <c r="AH28" s="164"/>
      <c r="AI28" s="162"/>
      <c r="AJ28" s="131" t="s">
        <v>487</v>
      </c>
      <c r="AK28" s="163" t="s">
        <v>291</v>
      </c>
      <c r="AL28" s="160">
        <v>-9</v>
      </c>
      <c r="AM28" s="161">
        <v>0.3076923076923077</v>
      </c>
      <c r="AN28" s="162">
        <v>10.5</v>
      </c>
      <c r="AO28" s="174"/>
      <c r="AP28" s="168" t="s">
        <v>118</v>
      </c>
      <c r="AQ28" s="169" t="s">
        <v>333</v>
      </c>
      <c r="AR28" s="170">
        <v>3</v>
      </c>
      <c r="AS28" s="128"/>
      <c r="AT28" s="168"/>
      <c r="AU28" s="169"/>
      <c r="AV28" s="170"/>
      <c r="BY28" s="83" t="e">
        <f t="shared" si="5"/>
        <v>#DIV/0!</v>
      </c>
      <c r="CC28" s="86"/>
    </row>
    <row r="29" spans="1:81" ht="28.75" thickBot="1">
      <c r="A29" s="175"/>
      <c r="B29" s="38"/>
      <c r="C29" s="84"/>
      <c r="D29" s="100"/>
      <c r="E29" s="98"/>
      <c r="F29" s="84"/>
      <c r="G29" s="93"/>
      <c r="H29" s="141"/>
      <c r="I29" s="84"/>
      <c r="J29" s="92"/>
      <c r="K29" s="84"/>
      <c r="L29" s="100"/>
      <c r="M29" s="84"/>
      <c r="N29" s="98"/>
      <c r="O29" s="84"/>
      <c r="P29" s="117"/>
      <c r="Q29" s="84"/>
      <c r="R29" s="143"/>
      <c r="S29" s="197"/>
      <c r="T29" s="205"/>
      <c r="U29" s="206"/>
      <c r="V29" s="207"/>
      <c r="W29" s="208"/>
      <c r="X29" s="209"/>
      <c r="Y29" s="217"/>
      <c r="Z29" s="131"/>
      <c r="AA29" s="163"/>
      <c r="AB29" s="160"/>
      <c r="AC29" s="161"/>
      <c r="AD29" s="162"/>
      <c r="AE29" s="131" t="s">
        <v>487</v>
      </c>
      <c r="AF29" s="163" t="s">
        <v>273</v>
      </c>
      <c r="AG29" s="160">
        <v>-1</v>
      </c>
      <c r="AH29" s="164">
        <v>0</v>
      </c>
      <c r="AI29" s="162">
        <v>0.25</v>
      </c>
      <c r="AJ29" s="131" t="s">
        <v>487</v>
      </c>
      <c r="AK29" s="163" t="s">
        <v>273</v>
      </c>
      <c r="AL29" s="160">
        <v>-1</v>
      </c>
      <c r="AM29" s="161">
        <v>0</v>
      </c>
      <c r="AN29" s="162">
        <v>0.25</v>
      </c>
      <c r="AO29" s="174"/>
      <c r="AP29" s="38"/>
      <c r="AQ29" s="23"/>
      <c r="AR29" s="119"/>
      <c r="AS29" s="128"/>
      <c r="AT29" s="168"/>
      <c r="AU29" s="169"/>
      <c r="AV29" s="170"/>
      <c r="BY29" s="83" t="e">
        <f t="shared" si="5"/>
        <v>#DIV/0!</v>
      </c>
      <c r="CC29" s="86"/>
    </row>
    <row r="30" spans="1:81" ht="28">
      <c r="A30" s="175"/>
      <c r="B30" s="38"/>
      <c r="C30" s="84"/>
      <c r="D30" s="100"/>
      <c r="E30" s="98"/>
      <c r="F30" s="84"/>
      <c r="G30" s="93"/>
      <c r="H30" s="141"/>
      <c r="I30" s="84"/>
      <c r="J30" s="92"/>
      <c r="K30" s="84"/>
      <c r="L30" s="100"/>
      <c r="M30" s="84"/>
      <c r="N30" s="98"/>
      <c r="O30" s="84"/>
      <c r="P30" s="117"/>
      <c r="Q30" s="84"/>
      <c r="R30" s="143"/>
      <c r="S30" s="197"/>
      <c r="T30" s="205"/>
      <c r="U30" s="206"/>
      <c r="V30" s="207"/>
      <c r="W30" s="208"/>
      <c r="X30" s="209"/>
      <c r="Y30" s="217"/>
      <c r="Z30" s="131"/>
      <c r="AA30" s="163"/>
      <c r="AB30" s="160"/>
      <c r="AC30" s="161"/>
      <c r="AD30" s="162"/>
      <c r="AE30" s="131" t="s">
        <v>487</v>
      </c>
      <c r="AF30" s="163" t="s">
        <v>312</v>
      </c>
      <c r="AG30" s="160">
        <v>0</v>
      </c>
      <c r="AH30" s="164" t="e">
        <v>#DIV/0!</v>
      </c>
      <c r="AI30" s="162">
        <v>0</v>
      </c>
      <c r="AJ30" s="131" t="s">
        <v>487</v>
      </c>
      <c r="AK30" s="163" t="s">
        <v>312</v>
      </c>
      <c r="AL30" s="160">
        <v>0</v>
      </c>
      <c r="AM30" s="161" t="e">
        <v>#DIV/0!</v>
      </c>
      <c r="AN30" s="162">
        <v>0</v>
      </c>
      <c r="AO30" s="174"/>
      <c r="AP30" s="38"/>
      <c r="AQ30" s="23"/>
      <c r="AR30" s="119"/>
      <c r="AS30" s="128"/>
      <c r="AT30" s="168" t="s">
        <v>118</v>
      </c>
      <c r="AU30" s="169" t="s">
        <v>271</v>
      </c>
      <c r="AV30" s="170">
        <v>1</v>
      </c>
      <c r="BY30" s="83" t="e">
        <f t="shared" si="5"/>
        <v>#DIV/0!</v>
      </c>
      <c r="CC30" s="86"/>
    </row>
    <row r="31" spans="1:81" ht="28">
      <c r="A31" s="175"/>
      <c r="B31" s="38"/>
      <c r="C31" s="84"/>
      <c r="D31" s="100"/>
      <c r="E31" s="98"/>
      <c r="F31" s="84"/>
      <c r="G31" s="93"/>
      <c r="H31" s="141"/>
      <c r="I31" s="84"/>
      <c r="J31" s="92"/>
      <c r="K31" s="84"/>
      <c r="L31" s="100"/>
      <c r="M31" s="84"/>
      <c r="N31" s="98"/>
      <c r="O31" s="84"/>
      <c r="P31" s="117"/>
      <c r="Q31" s="84"/>
      <c r="R31" s="143"/>
      <c r="S31" s="197"/>
      <c r="T31" s="205"/>
      <c r="U31" s="206"/>
      <c r="V31" s="207"/>
      <c r="W31" s="208"/>
      <c r="X31" s="209"/>
      <c r="Y31" s="217"/>
      <c r="Z31" s="131" t="s">
        <v>487</v>
      </c>
      <c r="AA31" s="163" t="s">
        <v>397</v>
      </c>
      <c r="AB31" s="160">
        <v>12</v>
      </c>
      <c r="AC31" s="161" t="e">
        <v>#DIV/0!</v>
      </c>
      <c r="AD31" s="162">
        <v>5.75</v>
      </c>
      <c r="AE31" s="131"/>
      <c r="AF31" s="163"/>
      <c r="AG31" s="160"/>
      <c r="AH31" s="164"/>
      <c r="AI31" s="162"/>
      <c r="AJ31" s="131" t="s">
        <v>487</v>
      </c>
      <c r="AK31" s="163" t="s">
        <v>397</v>
      </c>
      <c r="AL31" s="160">
        <v>12</v>
      </c>
      <c r="AM31" s="161" t="e">
        <v>#DIV/0!</v>
      </c>
      <c r="AN31" s="162">
        <v>5.75</v>
      </c>
      <c r="AO31" s="174"/>
      <c r="AP31" s="38" t="s">
        <v>118</v>
      </c>
      <c r="AQ31" s="23" t="s">
        <v>338</v>
      </c>
      <c r="AR31" s="119">
        <v>2</v>
      </c>
      <c r="AS31" s="128"/>
      <c r="AT31" s="38"/>
      <c r="AU31" s="23"/>
      <c r="AV31" s="119"/>
      <c r="BY31" s="83" t="e">
        <f t="shared" si="5"/>
        <v>#DIV/0!</v>
      </c>
      <c r="CC31" s="86"/>
    </row>
    <row r="32" spans="1:81" ht="28">
      <c r="A32" s="175"/>
      <c r="B32" s="38"/>
      <c r="C32" s="84"/>
      <c r="D32" s="100"/>
      <c r="E32" s="98"/>
      <c r="F32" s="84"/>
      <c r="G32" s="93"/>
      <c r="H32" s="141"/>
      <c r="I32" s="84"/>
      <c r="J32" s="92"/>
      <c r="K32" s="84"/>
      <c r="L32" s="100"/>
      <c r="M32" s="84"/>
      <c r="N32" s="98"/>
      <c r="O32" s="84"/>
      <c r="P32" s="117"/>
      <c r="Q32" s="84"/>
      <c r="R32" s="143"/>
      <c r="S32" s="197"/>
      <c r="T32" s="205"/>
      <c r="U32" s="206"/>
      <c r="V32" s="207"/>
      <c r="W32" s="208"/>
      <c r="X32" s="209"/>
      <c r="Y32" s="217"/>
      <c r="Z32" s="131" t="s">
        <v>487</v>
      </c>
      <c r="AA32" s="163" t="s">
        <v>401</v>
      </c>
      <c r="AB32" s="160">
        <v>3</v>
      </c>
      <c r="AC32" s="161">
        <v>1.069767441860465</v>
      </c>
      <c r="AD32" s="162">
        <v>41.5</v>
      </c>
      <c r="AE32" s="131"/>
      <c r="AF32" s="163"/>
      <c r="AG32" s="160"/>
      <c r="AH32" s="164"/>
      <c r="AI32" s="162"/>
      <c r="AJ32" s="131" t="s">
        <v>487</v>
      </c>
      <c r="AK32" s="163" t="s">
        <v>401</v>
      </c>
      <c r="AL32" s="160">
        <v>3</v>
      </c>
      <c r="AM32" s="161">
        <v>1.069767441860465</v>
      </c>
      <c r="AN32" s="162">
        <v>41.5</v>
      </c>
      <c r="AO32" s="174"/>
      <c r="AP32" s="38" t="s">
        <v>118</v>
      </c>
      <c r="AQ32" s="23" t="s">
        <v>345</v>
      </c>
      <c r="AR32" s="119">
        <v>11.666666666666666</v>
      </c>
      <c r="AS32" s="128"/>
      <c r="AT32" s="38"/>
      <c r="AU32" s="23"/>
      <c r="AV32" s="119"/>
      <c r="BY32" s="83" t="e">
        <f t="shared" si="5"/>
        <v>#DIV/0!</v>
      </c>
      <c r="CC32" s="86"/>
    </row>
    <row r="33" spans="1:81" ht="28.75" thickBot="1">
      <c r="A33" s="175"/>
      <c r="B33" s="38"/>
      <c r="C33" s="84"/>
      <c r="D33" s="100"/>
      <c r="E33" s="98"/>
      <c r="F33" s="84"/>
      <c r="G33" s="93"/>
      <c r="H33" s="141"/>
      <c r="I33" s="84"/>
      <c r="J33" s="92"/>
      <c r="K33" s="84"/>
      <c r="L33" s="100"/>
      <c r="M33" s="84"/>
      <c r="N33" s="98"/>
      <c r="O33" s="84"/>
      <c r="P33" s="117"/>
      <c r="Q33" s="84"/>
      <c r="R33" s="143"/>
      <c r="S33" s="197"/>
      <c r="T33" s="205"/>
      <c r="U33" s="206"/>
      <c r="V33" s="207"/>
      <c r="W33" s="208"/>
      <c r="X33" s="209"/>
      <c r="Y33" s="217"/>
      <c r="Z33" s="131"/>
      <c r="AA33" s="163"/>
      <c r="AB33" s="160"/>
      <c r="AC33" s="161"/>
      <c r="AD33" s="162"/>
      <c r="AE33" s="131" t="s">
        <v>487</v>
      </c>
      <c r="AF33" s="163" t="s">
        <v>332</v>
      </c>
      <c r="AG33" s="160">
        <v>-27</v>
      </c>
      <c r="AH33" s="164">
        <v>0.4807692307692308</v>
      </c>
      <c r="AI33" s="162">
        <v>41.5</v>
      </c>
      <c r="AJ33" s="131" t="s">
        <v>487</v>
      </c>
      <c r="AK33" s="163" t="s">
        <v>332</v>
      </c>
      <c r="AL33" s="160">
        <v>-27</v>
      </c>
      <c r="AM33" s="161">
        <v>0.4807692307692308</v>
      </c>
      <c r="AN33" s="162">
        <v>41.5</v>
      </c>
      <c r="AO33" s="174"/>
      <c r="AP33" s="38"/>
      <c r="AQ33" s="23"/>
      <c r="AR33" s="119"/>
      <c r="AS33" s="128"/>
      <c r="AT33" s="39" t="s">
        <v>118</v>
      </c>
      <c r="AU33" s="40" t="s">
        <v>118</v>
      </c>
      <c r="AV33" s="120">
        <v>27.666666666666668</v>
      </c>
      <c r="BY33" s="83" t="e">
        <f t="shared" si="5"/>
        <v>#DIV/0!</v>
      </c>
      <c r="CC33" s="86"/>
    </row>
    <row r="34" spans="1:81" ht="28">
      <c r="A34" s="175"/>
      <c r="B34" s="38"/>
      <c r="C34" s="84"/>
      <c r="D34" s="100"/>
      <c r="E34" s="98"/>
      <c r="F34" s="84"/>
      <c r="G34" s="93"/>
      <c r="H34" s="141"/>
      <c r="I34" s="84"/>
      <c r="J34" s="92"/>
      <c r="K34" s="84"/>
      <c r="L34" s="100"/>
      <c r="M34" s="84"/>
      <c r="N34" s="98"/>
      <c r="O34" s="84"/>
      <c r="P34" s="117"/>
      <c r="Q34" s="84"/>
      <c r="R34" s="143"/>
      <c r="S34" s="197"/>
      <c r="T34" s="205"/>
      <c r="U34" s="206"/>
      <c r="V34" s="207"/>
      <c r="W34" s="208"/>
      <c r="X34" s="209"/>
      <c r="Y34" s="217"/>
      <c r="Z34" s="131" t="s">
        <v>487</v>
      </c>
      <c r="AA34" s="163" t="s">
        <v>418</v>
      </c>
      <c r="AB34" s="160">
        <v>2</v>
      </c>
      <c r="AC34" s="161" t="e">
        <v>#DIV/0!</v>
      </c>
      <c r="AD34" s="162">
        <v>0.5</v>
      </c>
      <c r="AE34" s="131"/>
      <c r="AF34" s="163"/>
      <c r="AG34" s="160"/>
      <c r="AH34" s="164"/>
      <c r="AI34" s="162"/>
      <c r="AJ34" s="131" t="s">
        <v>487</v>
      </c>
      <c r="AK34" s="163" t="s">
        <v>418</v>
      </c>
      <c r="AL34" s="160">
        <v>2</v>
      </c>
      <c r="AM34" s="161" t="e">
        <v>#DIV/0!</v>
      </c>
      <c r="AN34" s="162">
        <v>0.5</v>
      </c>
      <c r="AO34" s="174"/>
      <c r="AP34" s="38" t="s">
        <v>118</v>
      </c>
      <c r="AQ34" s="23" t="s">
        <v>352</v>
      </c>
      <c r="AR34" s="119">
        <v>3</v>
      </c>
      <c r="AS34" s="128"/>
      <c r="AT34" s="38"/>
      <c r="AU34" s="23"/>
      <c r="AV34" s="119"/>
      <c r="BY34" s="83" t="e">
        <f t="shared" si="5"/>
        <v>#DIV/0!</v>
      </c>
      <c r="CC34" s="86"/>
    </row>
    <row r="35" spans="1:81" ht="28">
      <c r="A35" s="175"/>
      <c r="B35" s="38"/>
      <c r="C35" s="84"/>
      <c r="D35" s="100"/>
      <c r="E35" s="98"/>
      <c r="F35" s="84"/>
      <c r="G35" s="93"/>
      <c r="H35" s="141"/>
      <c r="I35" s="84"/>
      <c r="J35" s="92"/>
      <c r="K35" s="84"/>
      <c r="L35" s="100"/>
      <c r="M35" s="84"/>
      <c r="N35" s="98"/>
      <c r="O35" s="84"/>
      <c r="P35" s="117"/>
      <c r="Q35" s="84"/>
      <c r="R35" s="143"/>
      <c r="S35" s="197"/>
      <c r="T35" s="205"/>
      <c r="U35" s="206"/>
      <c r="V35" s="207"/>
      <c r="W35" s="208"/>
      <c r="X35" s="209"/>
      <c r="Y35" s="217"/>
      <c r="Z35" s="131" t="s">
        <v>487</v>
      </c>
      <c r="AA35" s="163" t="s">
        <v>427</v>
      </c>
      <c r="AB35" s="160">
        <v>1</v>
      </c>
      <c r="AC35" s="161">
        <v>1.0119047619047619</v>
      </c>
      <c r="AD35" s="162">
        <v>103.75</v>
      </c>
      <c r="AE35" s="131"/>
      <c r="AF35" s="163"/>
      <c r="AG35" s="160"/>
      <c r="AH35" s="164"/>
      <c r="AI35" s="162"/>
      <c r="AJ35" s="131" t="s">
        <v>487</v>
      </c>
      <c r="AK35" s="163" t="s">
        <v>427</v>
      </c>
      <c r="AL35" s="160">
        <v>1</v>
      </c>
      <c r="AM35" s="161">
        <v>1.0119047619047619</v>
      </c>
      <c r="AN35" s="162">
        <v>103.75</v>
      </c>
      <c r="AO35" s="174"/>
      <c r="AP35" s="38" t="s">
        <v>118</v>
      </c>
      <c r="AQ35" s="23" t="s">
        <v>356</v>
      </c>
      <c r="AR35" s="119">
        <v>42</v>
      </c>
      <c r="AS35" s="128"/>
      <c r="AT35" s="38"/>
      <c r="AU35" s="23"/>
      <c r="AV35" s="119"/>
      <c r="BY35" s="83" t="e">
        <f t="shared" si="5"/>
        <v>#DIV/0!</v>
      </c>
      <c r="CC35" s="86"/>
    </row>
    <row r="36" spans="1:81" ht="28">
      <c r="A36" s="175"/>
      <c r="B36" s="38"/>
      <c r="C36" s="84"/>
      <c r="D36" s="100"/>
      <c r="E36" s="98"/>
      <c r="F36" s="84"/>
      <c r="G36" s="93"/>
      <c r="H36" s="141"/>
      <c r="I36" s="84"/>
      <c r="J36" s="92"/>
      <c r="K36" s="84"/>
      <c r="L36" s="100"/>
      <c r="M36" s="84"/>
      <c r="N36" s="98"/>
      <c r="O36" s="84"/>
      <c r="P36" s="117"/>
      <c r="Q36" s="84"/>
      <c r="R36" s="143"/>
      <c r="S36" s="197"/>
      <c r="T36" s="205"/>
      <c r="U36" s="206"/>
      <c r="V36" s="207"/>
      <c r="W36" s="208"/>
      <c r="X36" s="209"/>
      <c r="Y36" s="217"/>
      <c r="Z36" s="131"/>
      <c r="AA36" s="163"/>
      <c r="AB36" s="160"/>
      <c r="AC36" s="161"/>
      <c r="AD36" s="162"/>
      <c r="AE36" s="131" t="s">
        <v>487</v>
      </c>
      <c r="AF36" s="163" t="s">
        <v>244</v>
      </c>
      <c r="AG36" s="160">
        <v>0</v>
      </c>
      <c r="AH36" s="164" t="e">
        <v>#DIV/0!</v>
      </c>
      <c r="AI36" s="162">
        <v>0</v>
      </c>
      <c r="AJ36" s="1" t="s">
        <v>487</v>
      </c>
      <c r="AK36" s="163" t="s">
        <v>244</v>
      </c>
      <c r="AL36" s="160">
        <v>0</v>
      </c>
      <c r="AM36" s="161" t="e">
        <v>#DIV/0!</v>
      </c>
      <c r="AN36" s="162">
        <v>0</v>
      </c>
      <c r="AO36" s="174"/>
      <c r="AP36" s="38"/>
      <c r="AQ36" s="23"/>
      <c r="AR36" s="119"/>
      <c r="AS36" s="128"/>
      <c r="AT36" s="38"/>
      <c r="AU36" s="23"/>
      <c r="AV36" s="119"/>
      <c r="BY36" s="83" t="e">
        <f t="shared" si="5"/>
        <v>#DIV/0!</v>
      </c>
      <c r="CC36" s="86"/>
    </row>
    <row r="37" spans="1:81" ht="28">
      <c r="A37" s="175"/>
      <c r="B37" s="38"/>
      <c r="C37" s="84"/>
      <c r="D37" s="100"/>
      <c r="E37" s="98"/>
      <c r="F37" s="84"/>
      <c r="G37" s="93"/>
      <c r="H37" s="141"/>
      <c r="I37" s="84"/>
      <c r="J37" s="92"/>
      <c r="K37" s="84"/>
      <c r="L37" s="100"/>
      <c r="M37" s="84"/>
      <c r="N37" s="98"/>
      <c r="O37" s="84"/>
      <c r="P37" s="117"/>
      <c r="Q37" s="84"/>
      <c r="R37" s="143"/>
      <c r="S37" s="197"/>
      <c r="T37" s="205"/>
      <c r="U37" s="206"/>
      <c r="V37" s="207"/>
      <c r="W37" s="208"/>
      <c r="X37" s="209"/>
      <c r="Y37" s="217"/>
      <c r="Z37" s="131" t="s">
        <v>487</v>
      </c>
      <c r="AA37" s="163" t="s">
        <v>276</v>
      </c>
      <c r="AB37" s="160">
        <v>-21</v>
      </c>
      <c r="AC37" s="172">
        <v>0.72</v>
      </c>
      <c r="AD37" s="173">
        <v>47.75</v>
      </c>
      <c r="AE37" s="131"/>
      <c r="AF37" s="163"/>
      <c r="AG37" s="160"/>
      <c r="AH37" s="164"/>
      <c r="AI37" s="162"/>
      <c r="AJ37" s="1" t="s">
        <v>487</v>
      </c>
      <c r="AK37" s="163" t="s">
        <v>276</v>
      </c>
      <c r="AL37" s="160">
        <v>-21</v>
      </c>
      <c r="AM37" s="161">
        <v>0.72</v>
      </c>
      <c r="AN37" s="162">
        <v>47.75</v>
      </c>
      <c r="AO37" s="174"/>
      <c r="AP37" s="38" t="s">
        <v>118</v>
      </c>
      <c r="AQ37" s="23" t="s">
        <v>364</v>
      </c>
      <c r="AR37" s="119">
        <v>26.333333333333332</v>
      </c>
      <c r="AS37" s="128"/>
      <c r="AT37" s="38"/>
      <c r="AU37" s="23"/>
      <c r="AV37" s="119"/>
      <c r="BY37" s="83" t="e">
        <f t="shared" si="5"/>
        <v>#DIV/0!</v>
      </c>
      <c r="CC37" s="86"/>
    </row>
    <row r="38" spans="1:81" ht="28">
      <c r="A38" s="175"/>
      <c r="B38" s="38"/>
      <c r="C38" s="84"/>
      <c r="D38" s="100"/>
      <c r="E38" s="98"/>
      <c r="F38" s="84"/>
      <c r="G38" s="93"/>
      <c r="H38" s="141"/>
      <c r="I38" s="84"/>
      <c r="J38" s="92"/>
      <c r="K38" s="84"/>
      <c r="L38" s="100"/>
      <c r="M38" s="84"/>
      <c r="N38" s="98"/>
      <c r="O38" s="84"/>
      <c r="P38" s="117"/>
      <c r="Q38" s="84"/>
      <c r="R38" s="143"/>
      <c r="S38" s="197"/>
      <c r="T38" s="205"/>
      <c r="U38" s="206"/>
      <c r="V38" s="207"/>
      <c r="W38" s="208"/>
      <c r="X38" s="209"/>
      <c r="Y38" s="217"/>
      <c r="Z38" s="131" t="s">
        <v>487</v>
      </c>
      <c r="AA38" s="163" t="s">
        <v>379</v>
      </c>
      <c r="AB38" s="160">
        <v>28</v>
      </c>
      <c r="AC38" s="172" t="e">
        <v>#DIV/0!</v>
      </c>
      <c r="AD38" s="173">
        <v>7.25</v>
      </c>
      <c r="AE38" s="131"/>
      <c r="AF38" s="163"/>
      <c r="AG38" s="160"/>
      <c r="AH38" s="164"/>
      <c r="AI38" s="162"/>
      <c r="AJ38" s="1" t="s">
        <v>487</v>
      </c>
      <c r="AK38" s="163" t="s">
        <v>379</v>
      </c>
      <c r="AL38" s="160">
        <v>28</v>
      </c>
      <c r="AM38" s="161" t="e">
        <v>#DIV/0!</v>
      </c>
      <c r="AN38" s="162">
        <v>7.25</v>
      </c>
      <c r="AO38" s="174"/>
      <c r="AP38" s="38"/>
      <c r="AQ38" s="23"/>
      <c r="AR38" s="119"/>
      <c r="AS38" s="128"/>
      <c r="AT38" s="38"/>
      <c r="AU38" s="23"/>
      <c r="AV38" s="119"/>
      <c r="BY38" s="83" t="e">
        <f t="shared" si="5"/>
        <v>#DIV/0!</v>
      </c>
      <c r="CC38" s="86"/>
    </row>
    <row r="39" spans="1:81" ht="28">
      <c r="A39" s="175"/>
      <c r="B39" s="38"/>
      <c r="C39" s="84"/>
      <c r="D39" s="100"/>
      <c r="E39" s="98"/>
      <c r="F39" s="84"/>
      <c r="G39" s="93"/>
      <c r="H39" s="141"/>
      <c r="I39" s="84"/>
      <c r="J39" s="92"/>
      <c r="K39" s="84"/>
      <c r="L39" s="100"/>
      <c r="M39" s="84"/>
      <c r="N39" s="98"/>
      <c r="O39" s="84"/>
      <c r="P39" s="117"/>
      <c r="Q39" s="84"/>
      <c r="R39" s="143"/>
      <c r="S39" s="197"/>
      <c r="T39" s="205"/>
      <c r="U39" s="206"/>
      <c r="V39" s="207"/>
      <c r="W39" s="208"/>
      <c r="X39" s="209"/>
      <c r="Y39" s="217"/>
      <c r="Z39" s="131"/>
      <c r="AA39" s="163"/>
      <c r="AB39" s="160"/>
      <c r="AC39" s="172"/>
      <c r="AD39" s="173"/>
      <c r="AE39" s="131" t="s">
        <v>487</v>
      </c>
      <c r="AF39" s="163" t="s">
        <v>415</v>
      </c>
      <c r="AG39" s="160">
        <v>4</v>
      </c>
      <c r="AH39" s="164" t="e">
        <v>#DIV/0!</v>
      </c>
      <c r="AI39" s="162">
        <v>6.5</v>
      </c>
      <c r="AJ39" s="1" t="s">
        <v>487</v>
      </c>
      <c r="AK39" s="163" t="s">
        <v>415</v>
      </c>
      <c r="AL39" s="160">
        <v>4</v>
      </c>
      <c r="AM39" s="161" t="e">
        <v>#DIV/0!</v>
      </c>
      <c r="AN39" s="162">
        <v>6.5</v>
      </c>
      <c r="AO39" s="174"/>
      <c r="AP39" s="38"/>
      <c r="AQ39" s="23"/>
      <c r="AR39" s="119"/>
      <c r="AS39" s="128"/>
      <c r="AT39" s="38"/>
      <c r="AU39" s="23"/>
      <c r="AV39" s="119"/>
      <c r="BY39" s="83" t="e">
        <f t="shared" si="5"/>
        <v>#DIV/0!</v>
      </c>
      <c r="CC39" s="86"/>
    </row>
    <row r="40" spans="1:81" ht="28">
      <c r="A40" s="175"/>
      <c r="B40" s="38"/>
      <c r="C40" s="84"/>
      <c r="D40" s="100"/>
      <c r="E40" s="98"/>
      <c r="F40" s="84"/>
      <c r="G40" s="93"/>
      <c r="H40" s="141"/>
      <c r="I40" s="84"/>
      <c r="J40" s="92"/>
      <c r="K40" s="84"/>
      <c r="L40" s="100"/>
      <c r="M40" s="84"/>
      <c r="N40" s="98"/>
      <c r="O40" s="84"/>
      <c r="P40" s="117"/>
      <c r="Q40" s="84"/>
      <c r="R40" s="143"/>
      <c r="S40" s="197"/>
      <c r="T40" s="205"/>
      <c r="U40" s="206"/>
      <c r="V40" s="207"/>
      <c r="W40" s="208"/>
      <c r="X40" s="209"/>
      <c r="Y40" s="217"/>
      <c r="Z40" s="131" t="s">
        <v>487</v>
      </c>
      <c r="AA40" s="163" t="s">
        <v>393</v>
      </c>
      <c r="AB40" s="160">
        <v>-6</v>
      </c>
      <c r="AC40" s="172">
        <v>0</v>
      </c>
      <c r="AD40" s="173">
        <v>1.5</v>
      </c>
      <c r="AE40" s="131"/>
      <c r="AF40" s="163"/>
      <c r="AG40" s="160"/>
      <c r="AH40" s="164"/>
      <c r="AI40" s="162"/>
      <c r="AJ40" s="1" t="s">
        <v>487</v>
      </c>
      <c r="AK40" s="163" t="s">
        <v>393</v>
      </c>
      <c r="AL40" s="160">
        <v>-6</v>
      </c>
      <c r="AM40" s="161">
        <v>0</v>
      </c>
      <c r="AN40" s="162">
        <v>1.5</v>
      </c>
      <c r="AO40" s="174"/>
      <c r="AP40" s="38"/>
      <c r="AQ40" s="23"/>
      <c r="AR40" s="119"/>
      <c r="AS40" s="128"/>
      <c r="AT40" s="38"/>
      <c r="AU40" s="23"/>
      <c r="AV40" s="119"/>
      <c r="BY40" s="83" t="e">
        <f t="shared" si="5"/>
        <v>#DIV/0!</v>
      </c>
      <c r="CC40" s="86"/>
    </row>
    <row r="41" spans="1:81" ht="28">
      <c r="A41" s="175"/>
      <c r="B41" s="38"/>
      <c r="C41" s="84"/>
      <c r="D41" s="100"/>
      <c r="E41" s="98"/>
      <c r="F41" s="84"/>
      <c r="G41" s="93"/>
      <c r="H41" s="141"/>
      <c r="I41" s="84"/>
      <c r="J41" s="92"/>
      <c r="K41" s="84"/>
      <c r="L41" s="100"/>
      <c r="M41" s="84"/>
      <c r="N41" s="98"/>
      <c r="O41" s="84"/>
      <c r="P41" s="117"/>
      <c r="Q41" s="84"/>
      <c r="R41" s="143"/>
      <c r="S41" s="197"/>
      <c r="T41" s="205"/>
      <c r="U41" s="206"/>
      <c r="V41" s="207"/>
      <c r="W41" s="208"/>
      <c r="X41" s="209"/>
      <c r="Y41" s="217"/>
      <c r="Z41" s="131"/>
      <c r="AA41" s="163"/>
      <c r="AB41" s="160"/>
      <c r="AC41" s="172"/>
      <c r="AD41" s="173"/>
      <c r="AE41" s="131" t="s">
        <v>487</v>
      </c>
      <c r="AF41" s="163" t="s">
        <v>424</v>
      </c>
      <c r="AG41" s="160">
        <v>0</v>
      </c>
      <c r="AH41" s="164" t="e">
        <v>#DIV/0!</v>
      </c>
      <c r="AI41" s="162">
        <v>0.5</v>
      </c>
      <c r="AJ41" s="1" t="s">
        <v>487</v>
      </c>
      <c r="AK41" s="163" t="s">
        <v>424</v>
      </c>
      <c r="AL41" s="160">
        <v>0</v>
      </c>
      <c r="AM41" s="161" t="e">
        <v>#DIV/0!</v>
      </c>
      <c r="AN41" s="162">
        <v>0.5</v>
      </c>
      <c r="AO41" s="174"/>
      <c r="AP41" s="38"/>
      <c r="AQ41" s="23"/>
      <c r="AR41" s="119"/>
      <c r="AS41" s="128"/>
      <c r="AT41" s="38"/>
      <c r="AU41" s="23"/>
      <c r="AV41" s="119"/>
      <c r="BY41" s="83" t="e">
        <f t="shared" si="5"/>
        <v>#DIV/0!</v>
      </c>
      <c r="CC41" s="86"/>
    </row>
    <row r="42" spans="1:81" ht="28">
      <c r="A42" s="175"/>
      <c r="B42" s="38"/>
      <c r="C42" s="84"/>
      <c r="D42" s="100"/>
      <c r="E42" s="98"/>
      <c r="F42" s="84"/>
      <c r="G42" s="93"/>
      <c r="H42" s="141"/>
      <c r="I42" s="84"/>
      <c r="J42" s="92"/>
      <c r="K42" s="84"/>
      <c r="L42" s="100"/>
      <c r="M42" s="84"/>
      <c r="N42" s="98"/>
      <c r="O42" s="84"/>
      <c r="P42" s="117"/>
      <c r="Q42" s="84"/>
      <c r="R42" s="143"/>
      <c r="S42" s="197"/>
      <c r="T42" s="205"/>
      <c r="U42" s="206"/>
      <c r="V42" s="207"/>
      <c r="W42" s="208"/>
      <c r="X42" s="209"/>
      <c r="Y42" s="217"/>
      <c r="Z42" s="131" t="s">
        <v>487</v>
      </c>
      <c r="AA42" s="163" t="s">
        <v>410</v>
      </c>
      <c r="AB42" s="160">
        <v>-1</v>
      </c>
      <c r="AC42" s="172">
        <v>0</v>
      </c>
      <c r="AD42" s="173">
        <v>0.25</v>
      </c>
      <c r="AE42" s="131"/>
      <c r="AF42" s="163"/>
      <c r="AG42" s="160"/>
      <c r="AH42" s="164"/>
      <c r="AI42" s="162"/>
      <c r="AJ42" s="1" t="s">
        <v>487</v>
      </c>
      <c r="AK42" s="163" t="s">
        <v>410</v>
      </c>
      <c r="AL42" s="160">
        <v>-1</v>
      </c>
      <c r="AM42" s="161">
        <v>0</v>
      </c>
      <c r="AN42" s="162">
        <v>0.25</v>
      </c>
      <c r="AO42" s="174"/>
      <c r="AP42" s="38" t="s">
        <v>118</v>
      </c>
      <c r="AQ42" s="23" t="s">
        <v>371</v>
      </c>
      <c r="AR42" s="119">
        <v>2</v>
      </c>
      <c r="AS42" s="128"/>
      <c r="AT42" s="38"/>
      <c r="AU42" s="23"/>
      <c r="AV42" s="119"/>
      <c r="BY42" s="83" t="e">
        <f t="shared" si="5"/>
        <v>#DIV/0!</v>
      </c>
      <c r="CC42" s="86"/>
    </row>
    <row r="43" spans="1:81" ht="28">
      <c r="A43" s="175"/>
      <c r="B43" s="38"/>
      <c r="C43" s="84"/>
      <c r="D43" s="100"/>
      <c r="E43" s="98"/>
      <c r="F43" s="84"/>
      <c r="G43" s="93"/>
      <c r="H43" s="141"/>
      <c r="I43" s="84"/>
      <c r="J43" s="92"/>
      <c r="K43" s="84"/>
      <c r="L43" s="100"/>
      <c r="M43" s="84"/>
      <c r="N43" s="98"/>
      <c r="O43" s="84"/>
      <c r="P43" s="117"/>
      <c r="Q43" s="84"/>
      <c r="R43" s="143"/>
      <c r="S43" s="197"/>
      <c r="T43" s="205"/>
      <c r="U43" s="206"/>
      <c r="V43" s="207"/>
      <c r="W43" s="208"/>
      <c r="X43" s="209"/>
      <c r="Y43" s="217"/>
      <c r="Z43" s="131" t="s">
        <v>487</v>
      </c>
      <c r="AA43" s="163" t="s">
        <v>437</v>
      </c>
      <c r="AB43" s="160">
        <v>-19</v>
      </c>
      <c r="AC43" s="172">
        <v>0.6041666666666666</v>
      </c>
      <c r="AD43" s="173">
        <v>39.5</v>
      </c>
      <c r="AE43" s="131"/>
      <c r="AF43" s="163"/>
      <c r="AG43" s="160"/>
      <c r="AH43" s="164"/>
      <c r="AI43" s="162"/>
      <c r="AJ43" s="1" t="s">
        <v>487</v>
      </c>
      <c r="AK43" s="163" t="s">
        <v>437</v>
      </c>
      <c r="AL43" s="160">
        <v>-19</v>
      </c>
      <c r="AM43" s="161">
        <v>0.6041666666666666</v>
      </c>
      <c r="AN43" s="162">
        <v>39.5</v>
      </c>
      <c r="AO43" s="174"/>
      <c r="AP43" s="38" t="s">
        <v>118</v>
      </c>
      <c r="AQ43" s="23" t="s">
        <v>377</v>
      </c>
      <c r="AR43" s="119">
        <v>15.333333333333334</v>
      </c>
      <c r="AS43" s="128"/>
      <c r="AT43" s="38"/>
      <c r="AU43" s="23"/>
      <c r="AV43" s="119"/>
      <c r="BY43" s="83" t="e">
        <f t="shared" si="5"/>
        <v>#DIV/0!</v>
      </c>
      <c r="CC43" s="86"/>
    </row>
    <row r="44" spans="1:81" ht="28.75" thickBot="1">
      <c r="A44" s="175"/>
      <c r="B44" s="38"/>
      <c r="C44" s="84"/>
      <c r="D44" s="100"/>
      <c r="E44" s="98"/>
      <c r="F44" s="84"/>
      <c r="G44" s="93"/>
      <c r="H44" s="141"/>
      <c r="I44" s="84"/>
      <c r="J44" s="92"/>
      <c r="K44" s="84"/>
      <c r="L44" s="100"/>
      <c r="M44" s="84"/>
      <c r="N44" s="98"/>
      <c r="O44" s="84"/>
      <c r="P44" s="117"/>
      <c r="Q44" s="84"/>
      <c r="R44" s="143"/>
      <c r="S44" s="197"/>
      <c r="T44" s="205"/>
      <c r="U44" s="206"/>
      <c r="V44" s="207"/>
      <c r="W44" s="208"/>
      <c r="X44" s="209"/>
      <c r="Y44" s="217"/>
      <c r="Z44" s="131" t="s">
        <v>487</v>
      </c>
      <c r="AA44" s="163" t="s">
        <v>443</v>
      </c>
      <c r="AB44" s="160">
        <v>0</v>
      </c>
      <c r="AC44" s="172" t="e">
        <v>#DIV/0!</v>
      </c>
      <c r="AD44" s="173">
        <v>0.25</v>
      </c>
      <c r="AE44" s="131"/>
      <c r="AF44" s="163"/>
      <c r="AG44" s="160"/>
      <c r="AH44" s="164"/>
      <c r="AI44" s="162"/>
      <c r="AJ44" s="1" t="s">
        <v>487</v>
      </c>
      <c r="AK44" s="163" t="s">
        <v>443</v>
      </c>
      <c r="AL44" s="160">
        <v>0</v>
      </c>
      <c r="AM44" s="161" t="e">
        <v>#DIV/0!</v>
      </c>
      <c r="AN44" s="162">
        <v>0.25</v>
      </c>
      <c r="AO44" s="174"/>
      <c r="AP44" s="39"/>
      <c r="AQ44" s="40"/>
      <c r="AR44" s="120"/>
      <c r="AS44" s="128"/>
      <c r="AT44" s="38"/>
      <c r="AU44" s="23"/>
      <c r="AV44" s="119"/>
      <c r="BY44" s="83" t="e">
        <f t="shared" si="5"/>
        <v>#DIV/0!</v>
      </c>
      <c r="CC44" s="86"/>
    </row>
    <row r="45" spans="1:89" ht="28">
      <c r="A45" s="175" t="s">
        <v>119</v>
      </c>
      <c r="B45" s="38">
        <f>VCD!$G$57</f>
        <v>0</v>
      </c>
      <c r="C45" s="84">
        <f>VCD!$G$58</f>
        <v>0.029</v>
      </c>
      <c r="D45" s="100">
        <f>VCD!$G$55</f>
        <v>16.4</v>
      </c>
      <c r="E45" s="98">
        <f>VCD!$G$54</f>
        <v>24</v>
      </c>
      <c r="F45" s="84">
        <f t="shared" si="0"/>
        <v>1.4634146341463417</v>
      </c>
      <c r="G45" s="93">
        <f>VCD!$G$53</f>
        <v>13</v>
      </c>
      <c r="H45" s="141">
        <f>VCD!$G$33</f>
        <v>2.5</v>
      </c>
      <c r="I45" s="84">
        <f t="shared" si="1"/>
        <v>0.29850746268656714</v>
      </c>
      <c r="J45" s="92">
        <f>VCD!$G$34</f>
        <v>4.125</v>
      </c>
      <c r="K45" s="84">
        <f t="shared" si="2"/>
        <v>0.4925373134328358</v>
      </c>
      <c r="L45" s="100">
        <f>VCD!$G$35</f>
        <v>1.75</v>
      </c>
      <c r="M45" s="84">
        <f t="shared" si="3"/>
        <v>0.208955223880597</v>
      </c>
      <c r="N45" s="98">
        <f>VCD!$G$36</f>
        <v>0</v>
      </c>
      <c r="O45" s="84">
        <f t="shared" si="4"/>
        <v>0</v>
      </c>
      <c r="P45" s="117">
        <f>VCD!$G$44</f>
        <v>747.9402985074627</v>
      </c>
      <c r="Q45" s="84">
        <v>0.9022079422611229</v>
      </c>
      <c r="R45" s="143" t="s">
        <v>297</v>
      </c>
      <c r="S45" s="197">
        <f>VCD!G31</f>
        <v>117.9951093550447</v>
      </c>
      <c r="T45" s="205">
        <v>117.9951093550447</v>
      </c>
      <c r="U45" s="206">
        <f t="shared" si="7"/>
        <v>739121.365</v>
      </c>
      <c r="V45" s="207">
        <f>VCD!G11</f>
        <v>6264</v>
      </c>
      <c r="W45" s="208">
        <v>6264</v>
      </c>
      <c r="X45" s="209">
        <f>VCD!G12</f>
        <v>0.048</v>
      </c>
      <c r="Y45" s="217">
        <v>0.048</v>
      </c>
      <c r="Z45" s="131" t="s">
        <v>119</v>
      </c>
      <c r="AA45" s="163" t="s">
        <v>386</v>
      </c>
      <c r="AB45" s="160">
        <v>22</v>
      </c>
      <c r="AC45" s="161">
        <v>1.1486486486486487</v>
      </c>
      <c r="AD45" s="162">
        <v>167.75</v>
      </c>
      <c r="AE45" s="131"/>
      <c r="AF45" s="163"/>
      <c r="AG45" s="160"/>
      <c r="AH45" s="164"/>
      <c r="AI45" s="162"/>
      <c r="AJ45" s="131" t="s">
        <v>119</v>
      </c>
      <c r="AK45" s="163" t="s">
        <v>386</v>
      </c>
      <c r="AL45" s="160">
        <v>22</v>
      </c>
      <c r="AM45" s="161">
        <v>1.1486486486486487</v>
      </c>
      <c r="AN45" s="162">
        <v>167.75</v>
      </c>
      <c r="AO45" s="174"/>
      <c r="AP45" s="38" t="s">
        <v>297</v>
      </c>
      <c r="AQ45" s="23" t="s">
        <v>399</v>
      </c>
      <c r="AR45" s="119">
        <v>61</v>
      </c>
      <c r="AS45" s="128"/>
      <c r="AT45" s="38"/>
      <c r="AU45" s="23"/>
      <c r="AV45" s="119"/>
      <c r="BU45" s="1" t="s">
        <v>399</v>
      </c>
      <c r="BW45" s="1">
        <v>0</v>
      </c>
      <c r="BX45" s="1">
        <v>5</v>
      </c>
      <c r="BY45" s="83">
        <f t="shared" si="5"/>
        <v>0</v>
      </c>
      <c r="CA45" s="1">
        <v>1</v>
      </c>
      <c r="CB45" s="1">
        <v>8</v>
      </c>
      <c r="CC45" s="86">
        <f>CA45/CB45</f>
        <v>0.125</v>
      </c>
      <c r="CD45" s="142">
        <f>SUM(VCD!G27:H29)</f>
        <v>739121.365</v>
      </c>
      <c r="CG45" s="1">
        <v>0</v>
      </c>
      <c r="CH45" s="1">
        <v>4</v>
      </c>
      <c r="CJ45" s="1">
        <v>1</v>
      </c>
      <c r="CK45" s="1">
        <v>4</v>
      </c>
    </row>
    <row r="46" spans="1:89" ht="28.75" thickBot="1">
      <c r="A46" s="175" t="s">
        <v>194</v>
      </c>
      <c r="B46" s="38">
        <f>'ElectricalEng.'!$G$57</f>
        <v>0</v>
      </c>
      <c r="C46" s="84">
        <f>'ElectricalEng.'!$G$58</f>
        <v>0.078</v>
      </c>
      <c r="D46" s="100">
        <f>'ElectricalEng.'!$G$55</f>
        <v>14.8</v>
      </c>
      <c r="E46" s="98">
        <f>'ElectricalEng.'!$G$54</f>
        <v>19</v>
      </c>
      <c r="F46" s="84">
        <f t="shared" si="0"/>
        <v>1.2837837837837838</v>
      </c>
      <c r="G46" s="93">
        <f>'ElectricalEng.'!$G$53</f>
        <v>17</v>
      </c>
      <c r="H46" s="141">
        <f>'ElectricalEng.'!$G$33</f>
        <v>3.6</v>
      </c>
      <c r="I46" s="84">
        <f t="shared" si="1"/>
        <v>0.5454545454545455</v>
      </c>
      <c r="J46" s="92">
        <f>'ElectricalEng.'!$G$34</f>
        <v>1.25</v>
      </c>
      <c r="K46" s="84">
        <f t="shared" si="2"/>
        <v>0.1893939393939394</v>
      </c>
      <c r="L46" s="100">
        <f>'ElectricalEng.'!$G$35</f>
        <v>1.75</v>
      </c>
      <c r="M46" s="84">
        <f t="shared" si="3"/>
        <v>0.26515151515151514</v>
      </c>
      <c r="N46" s="98">
        <f>'ElectricalEng.'!$G$36</f>
        <v>0</v>
      </c>
      <c r="O46" s="84">
        <f t="shared" si="4"/>
        <v>0</v>
      </c>
      <c r="P46" s="117">
        <f>'ElectricalEng.'!$G$44</f>
        <v>607.2727272727273</v>
      </c>
      <c r="Q46" s="84">
        <v>0.9993918310749994</v>
      </c>
      <c r="R46" s="143"/>
      <c r="S46" s="197">
        <f>'ElectricalEng.'!G31</f>
        <v>295.90292539920154</v>
      </c>
      <c r="T46" s="205">
        <v>295.90292539920154</v>
      </c>
      <c r="U46" s="206"/>
      <c r="V46" s="207">
        <f>'ElectricalEng.'!G11</f>
        <v>4008</v>
      </c>
      <c r="W46" s="208">
        <v>4008</v>
      </c>
      <c r="X46" s="209">
        <f>'ElectricalEng.'!G12</f>
        <v>0.037</v>
      </c>
      <c r="Y46" s="217">
        <v>0.037</v>
      </c>
      <c r="Z46" s="131" t="s">
        <v>496</v>
      </c>
      <c r="AA46" s="163" t="s">
        <v>422</v>
      </c>
      <c r="AB46" s="160">
        <v>-20</v>
      </c>
      <c r="AC46" s="161">
        <v>0.8214285714285714</v>
      </c>
      <c r="AD46" s="162">
        <v>111.5</v>
      </c>
      <c r="AE46" s="131"/>
      <c r="AF46" s="163"/>
      <c r="AG46" s="160"/>
      <c r="AH46" s="164"/>
      <c r="AI46" s="162"/>
      <c r="AJ46" s="131" t="s">
        <v>496</v>
      </c>
      <c r="AK46" s="163" t="s">
        <v>422</v>
      </c>
      <c r="AL46" s="160">
        <v>-20</v>
      </c>
      <c r="AM46" s="161">
        <v>0.8214285714285714</v>
      </c>
      <c r="AN46" s="162">
        <v>111.5</v>
      </c>
      <c r="AO46" s="174"/>
      <c r="AP46" s="38" t="s">
        <v>297</v>
      </c>
      <c r="AQ46" s="23" t="s">
        <v>121</v>
      </c>
      <c r="AR46" s="119">
        <v>42.333333333333336</v>
      </c>
      <c r="AS46" s="128"/>
      <c r="AT46" s="38"/>
      <c r="AU46" s="23"/>
      <c r="AV46" s="119"/>
      <c r="BU46" s="1" t="s">
        <v>121</v>
      </c>
      <c r="BW46" s="1">
        <v>2</v>
      </c>
      <c r="BX46" s="1">
        <v>5</v>
      </c>
      <c r="BY46" s="83">
        <f t="shared" si="5"/>
        <v>0.4</v>
      </c>
      <c r="CA46" s="1">
        <v>2</v>
      </c>
      <c r="CB46" s="1">
        <v>8</v>
      </c>
      <c r="CC46" s="86">
        <f>CA46/CB46</f>
        <v>0.25</v>
      </c>
      <c r="CD46" s="142">
        <f>SUM('ElectricalEng.'!G27:H29)</f>
        <v>1185978.9249999998</v>
      </c>
      <c r="CG46" s="1">
        <v>1</v>
      </c>
      <c r="CH46" s="1">
        <v>4</v>
      </c>
      <c r="CJ46" s="1">
        <v>1</v>
      </c>
      <c r="CK46" s="1">
        <v>4</v>
      </c>
    </row>
    <row r="47" spans="1:89" ht="28">
      <c r="A47" s="175" t="s">
        <v>195</v>
      </c>
      <c r="B47" s="38">
        <f>MechanicalEngTech!$G$57</f>
        <v>0</v>
      </c>
      <c r="C47" s="84">
        <f>MechanicalEngTech!$G$58</f>
        <v>0.06</v>
      </c>
      <c r="D47" s="100">
        <f>MechanicalEngTech!$G$55</f>
        <v>14.8</v>
      </c>
      <c r="E47" s="98">
        <f>MechanicalEngTech!$G$54</f>
        <v>20</v>
      </c>
      <c r="F47" s="84">
        <f t="shared" si="0"/>
        <v>1.3513513513513513</v>
      </c>
      <c r="G47" s="93">
        <f>MechanicalEngTech!$G$53</f>
        <v>44</v>
      </c>
      <c r="H47" s="141">
        <f>MechanicalEngTech!$G$33</f>
        <v>8.7</v>
      </c>
      <c r="I47" s="84">
        <f t="shared" si="1"/>
        <v>0.3986254295532646</v>
      </c>
      <c r="J47" s="92">
        <f>MechanicalEngTech!$G$34</f>
        <v>6.750000000000001</v>
      </c>
      <c r="K47" s="84">
        <f t="shared" si="2"/>
        <v>0.309278350515464</v>
      </c>
      <c r="L47" s="100">
        <f>MechanicalEngTech!$G$35</f>
        <v>6.375</v>
      </c>
      <c r="M47" s="84">
        <f t="shared" si="3"/>
        <v>0.2920962199312715</v>
      </c>
      <c r="N47" s="98">
        <f>MechanicalEngTech!$G$36</f>
        <v>0</v>
      </c>
      <c r="O47" s="84">
        <f t="shared" si="4"/>
        <v>0</v>
      </c>
      <c r="P47" s="117">
        <f>MechanicalEngTech!$G$44</f>
        <v>804.0320733104238</v>
      </c>
      <c r="Q47" s="84">
        <v>0.9325818358190651</v>
      </c>
      <c r="R47" s="143"/>
      <c r="S47" s="197">
        <f>MechanicalEngTech!G31</f>
        <v>117.58745839981763</v>
      </c>
      <c r="T47" s="205">
        <v>117.58745839981763</v>
      </c>
      <c r="U47" s="206"/>
      <c r="V47" s="207">
        <f>MechanicalEngTech!G11</f>
        <v>17548</v>
      </c>
      <c r="W47" s="208">
        <v>17548</v>
      </c>
      <c r="X47" s="209">
        <f>MechanicalEngTech!G12</f>
        <v>0.118</v>
      </c>
      <c r="Y47" s="217">
        <v>0.118</v>
      </c>
      <c r="Z47" s="131" t="s">
        <v>484</v>
      </c>
      <c r="AA47" s="163" t="s">
        <v>260</v>
      </c>
      <c r="AB47" s="160">
        <v>4</v>
      </c>
      <c r="AC47" s="161" t="e">
        <v>#DIV/0!</v>
      </c>
      <c r="AD47" s="162">
        <v>1</v>
      </c>
      <c r="AE47" s="131"/>
      <c r="AF47" s="163"/>
      <c r="AG47" s="160"/>
      <c r="AH47" s="164"/>
      <c r="AI47" s="162"/>
      <c r="AJ47" s="131" t="s">
        <v>484</v>
      </c>
      <c r="AK47" s="163" t="s">
        <v>260</v>
      </c>
      <c r="AL47" s="160">
        <v>4</v>
      </c>
      <c r="AM47" s="161" t="e">
        <v>#DIV/0!</v>
      </c>
      <c r="AN47" s="162">
        <v>1</v>
      </c>
      <c r="AO47" s="174"/>
      <c r="AP47" s="168" t="s">
        <v>297</v>
      </c>
      <c r="AQ47" s="169" t="s">
        <v>389</v>
      </c>
      <c r="AR47" s="170">
        <v>1</v>
      </c>
      <c r="AS47" s="128"/>
      <c r="AT47" s="38"/>
      <c r="AU47" s="23"/>
      <c r="AV47" s="119"/>
      <c r="BU47" s="1" t="s">
        <v>557</v>
      </c>
      <c r="BW47" s="1">
        <v>0</v>
      </c>
      <c r="BX47" s="1">
        <v>5</v>
      </c>
      <c r="BY47" s="83">
        <f t="shared" si="5"/>
        <v>0</v>
      </c>
      <c r="CA47" s="1">
        <v>2</v>
      </c>
      <c r="CB47" s="1">
        <v>8</v>
      </c>
      <c r="CC47" s="86">
        <f>CA47/CB47</f>
        <v>0.25</v>
      </c>
      <c r="CD47" s="142">
        <f>SUM(MechanicalEngTech!G27:H29)</f>
        <v>2063424.7199999997</v>
      </c>
      <c r="CG47" s="1">
        <v>1</v>
      </c>
      <c r="CH47" s="1">
        <v>4</v>
      </c>
      <c r="CJ47" s="1">
        <v>1</v>
      </c>
      <c r="CK47" s="1">
        <v>4</v>
      </c>
    </row>
    <row r="48" spans="1:81" ht="28">
      <c r="A48" s="175"/>
      <c r="B48" s="38"/>
      <c r="C48" s="84"/>
      <c r="D48" s="100"/>
      <c r="E48" s="98"/>
      <c r="F48" s="84"/>
      <c r="G48" s="93"/>
      <c r="H48" s="141"/>
      <c r="I48" s="84"/>
      <c r="J48" s="92"/>
      <c r="K48" s="84"/>
      <c r="L48" s="100"/>
      <c r="M48" s="84"/>
      <c r="N48" s="98"/>
      <c r="O48" s="84"/>
      <c r="P48" s="117"/>
      <c r="Q48" s="84"/>
      <c r="R48" s="179"/>
      <c r="S48" s="197"/>
      <c r="T48" s="210"/>
      <c r="U48" s="211"/>
      <c r="V48" s="207"/>
      <c r="W48" s="212"/>
      <c r="X48" s="209"/>
      <c r="Y48" s="219"/>
      <c r="Z48" s="131" t="s">
        <v>484</v>
      </c>
      <c r="AA48" s="163" t="s">
        <v>360</v>
      </c>
      <c r="AB48" s="160">
        <v>58</v>
      </c>
      <c r="AC48" s="161" t="e">
        <v>#DIV/0!</v>
      </c>
      <c r="AD48" s="162">
        <v>14.5</v>
      </c>
      <c r="AE48" s="131"/>
      <c r="AF48" s="163"/>
      <c r="AG48" s="160"/>
      <c r="AH48" s="164"/>
      <c r="AI48" s="162"/>
      <c r="AJ48" s="131" t="s">
        <v>484</v>
      </c>
      <c r="AK48" s="163" t="s">
        <v>360</v>
      </c>
      <c r="AL48" s="160">
        <v>58</v>
      </c>
      <c r="AM48" s="161" t="e">
        <v>#DIV/0!</v>
      </c>
      <c r="AN48" s="162">
        <v>14.5</v>
      </c>
      <c r="AO48" s="174"/>
      <c r="AP48" s="38" t="s">
        <v>297</v>
      </c>
      <c r="AQ48" s="23" t="s">
        <v>394</v>
      </c>
      <c r="AR48" s="119">
        <v>11</v>
      </c>
      <c r="AS48" s="128"/>
      <c r="AT48" s="38"/>
      <c r="AU48" s="23"/>
      <c r="AV48" s="119"/>
      <c r="BY48" s="83" t="e">
        <f t="shared" si="5"/>
        <v>#DIV/0!</v>
      </c>
      <c r="CC48" s="86"/>
    </row>
    <row r="49" spans="1:81" ht="28">
      <c r="A49" s="175"/>
      <c r="B49" s="38"/>
      <c r="C49" s="84"/>
      <c r="D49" s="100"/>
      <c r="E49" s="98"/>
      <c r="F49" s="84"/>
      <c r="G49" s="93"/>
      <c r="H49" s="141"/>
      <c r="I49" s="84"/>
      <c r="J49" s="92"/>
      <c r="K49" s="84"/>
      <c r="L49" s="100"/>
      <c r="M49" s="84"/>
      <c r="N49" s="98"/>
      <c r="O49" s="84"/>
      <c r="P49" s="117"/>
      <c r="Q49" s="84"/>
      <c r="R49" s="179"/>
      <c r="S49" s="197"/>
      <c r="T49" s="210"/>
      <c r="U49" s="211"/>
      <c r="V49" s="207"/>
      <c r="W49" s="212"/>
      <c r="X49" s="209"/>
      <c r="Y49" s="219"/>
      <c r="Z49" s="131" t="s">
        <v>484</v>
      </c>
      <c r="AA49" s="163" t="s">
        <v>292</v>
      </c>
      <c r="AB49" s="160">
        <v>27</v>
      </c>
      <c r="AC49" s="172">
        <v>1.380281690140845</v>
      </c>
      <c r="AD49" s="173">
        <v>102</v>
      </c>
      <c r="AE49" s="131"/>
      <c r="AF49" s="163"/>
      <c r="AG49" s="160"/>
      <c r="AH49" s="164"/>
      <c r="AI49" s="162"/>
      <c r="AJ49" s="1" t="s">
        <v>484</v>
      </c>
      <c r="AK49" s="163" t="s">
        <v>292</v>
      </c>
      <c r="AL49" s="160">
        <v>27</v>
      </c>
      <c r="AM49" s="161">
        <v>1.380281690140845</v>
      </c>
      <c r="AN49" s="162">
        <v>102</v>
      </c>
      <c r="AO49" s="174"/>
      <c r="AP49" s="38" t="s">
        <v>297</v>
      </c>
      <c r="AQ49" s="23" t="s">
        <v>407</v>
      </c>
      <c r="AR49" s="119">
        <v>35.666666666666664</v>
      </c>
      <c r="AS49" s="128"/>
      <c r="AT49" s="38"/>
      <c r="AU49" s="23"/>
      <c r="AV49" s="119"/>
      <c r="BY49" s="83" t="e">
        <f t="shared" si="5"/>
        <v>#DIV/0!</v>
      </c>
      <c r="CC49" s="86"/>
    </row>
    <row r="50" spans="1:81" ht="28.75" thickBot="1">
      <c r="A50" s="175"/>
      <c r="B50" s="38"/>
      <c r="C50" s="84"/>
      <c r="D50" s="100"/>
      <c r="E50" s="98"/>
      <c r="F50" s="84"/>
      <c r="G50" s="93"/>
      <c r="H50" s="141"/>
      <c r="I50" s="84"/>
      <c r="J50" s="92"/>
      <c r="K50" s="84"/>
      <c r="L50" s="100"/>
      <c r="M50" s="84"/>
      <c r="N50" s="98"/>
      <c r="O50" s="84"/>
      <c r="P50" s="117"/>
      <c r="Q50" s="84"/>
      <c r="R50" s="179"/>
      <c r="S50" s="197"/>
      <c r="T50" s="210"/>
      <c r="U50" s="211"/>
      <c r="V50" s="207"/>
      <c r="W50" s="212"/>
      <c r="X50" s="209"/>
      <c r="Y50" s="219"/>
      <c r="Z50" s="131" t="s">
        <v>484</v>
      </c>
      <c r="AA50" s="163" t="s">
        <v>311</v>
      </c>
      <c r="AB50" s="160">
        <v>23</v>
      </c>
      <c r="AC50" s="172">
        <v>1.5609756097560976</v>
      </c>
      <c r="AD50" s="173">
        <v>62.25</v>
      </c>
      <c r="AE50" s="131"/>
      <c r="AF50" s="163"/>
      <c r="AG50" s="160"/>
      <c r="AH50" s="164"/>
      <c r="AI50" s="162"/>
      <c r="AJ50" s="1" t="s">
        <v>484</v>
      </c>
      <c r="AK50" s="163" t="s">
        <v>311</v>
      </c>
      <c r="AL50" s="160">
        <v>23</v>
      </c>
      <c r="AM50" s="161">
        <v>1.5609756097560976</v>
      </c>
      <c r="AN50" s="162">
        <v>62.25</v>
      </c>
      <c r="AO50" s="174"/>
      <c r="AP50" s="39" t="s">
        <v>297</v>
      </c>
      <c r="AQ50" s="40" t="s">
        <v>416</v>
      </c>
      <c r="AR50" s="120">
        <v>13.333333333333334</v>
      </c>
      <c r="AS50" s="128"/>
      <c r="AT50" s="38"/>
      <c r="AU50" s="23"/>
      <c r="AV50" s="119"/>
      <c r="BY50" s="83" t="e">
        <f t="shared" si="5"/>
        <v>#DIV/0!</v>
      </c>
      <c r="CC50" s="86"/>
    </row>
    <row r="51" spans="1:81" ht="28.75" thickBot="1">
      <c r="A51" s="175"/>
      <c r="B51" s="38"/>
      <c r="C51" s="84"/>
      <c r="D51" s="100"/>
      <c r="E51" s="98"/>
      <c r="F51" s="84"/>
      <c r="G51" s="93"/>
      <c r="H51" s="141"/>
      <c r="I51" s="84"/>
      <c r="J51" s="92"/>
      <c r="K51" s="84"/>
      <c r="L51" s="100"/>
      <c r="M51" s="84"/>
      <c r="N51" s="98"/>
      <c r="O51" s="84"/>
      <c r="P51" s="117"/>
      <c r="Q51" s="84"/>
      <c r="R51" s="179"/>
      <c r="S51" s="197"/>
      <c r="T51" s="210"/>
      <c r="U51" s="211"/>
      <c r="V51" s="207"/>
      <c r="W51" s="212"/>
      <c r="X51" s="209"/>
      <c r="Y51" s="219"/>
      <c r="Z51" s="131" t="s">
        <v>484</v>
      </c>
      <c r="AA51" s="163" t="s">
        <v>318</v>
      </c>
      <c r="AB51" s="160">
        <v>41</v>
      </c>
      <c r="AC51" s="172">
        <v>1.1564885496183206</v>
      </c>
      <c r="AD51" s="173">
        <v>284</v>
      </c>
      <c r="AE51" s="131"/>
      <c r="AF51" s="163"/>
      <c r="AG51" s="160"/>
      <c r="AH51" s="164"/>
      <c r="AI51" s="162"/>
      <c r="AJ51" s="1" t="s">
        <v>484</v>
      </c>
      <c r="AK51" s="163" t="s">
        <v>318</v>
      </c>
      <c r="AL51" s="160">
        <v>41</v>
      </c>
      <c r="AM51" s="161">
        <v>1.1564885496183206</v>
      </c>
      <c r="AN51" s="162">
        <v>284</v>
      </c>
      <c r="AO51" s="174"/>
      <c r="AP51" s="38" t="s">
        <v>297</v>
      </c>
      <c r="AQ51" s="23" t="s">
        <v>411</v>
      </c>
      <c r="AR51" s="119">
        <v>67.33333333333333</v>
      </c>
      <c r="AS51" s="128"/>
      <c r="AT51" s="38"/>
      <c r="AU51" s="23"/>
      <c r="AV51" s="119"/>
      <c r="BY51" s="83" t="e">
        <f t="shared" si="5"/>
        <v>#DIV/0!</v>
      </c>
      <c r="CC51" s="86"/>
    </row>
    <row r="52" spans="1:89" ht="28.75" thickBot="1">
      <c r="A52" s="175" t="s">
        <v>114</v>
      </c>
      <c r="B52" s="38">
        <f>CreativeWriting!$G$56</f>
        <v>2</v>
      </c>
      <c r="C52" s="84">
        <f>CreativeWriting!$G$57</f>
        <v>0.235</v>
      </c>
      <c r="D52" s="100">
        <f>CreativeWriting!$G$54</f>
        <v>18.6</v>
      </c>
      <c r="E52" s="98">
        <f>CreativeWriting!$G$53</f>
        <v>13</v>
      </c>
      <c r="F52" s="84">
        <f>E52/D52</f>
        <v>0.6989247311827956</v>
      </c>
      <c r="G52" s="93">
        <f>CreativeWriting!$G$52</f>
        <v>5</v>
      </c>
      <c r="H52" s="141">
        <f>CreativeWriting!$G$33</f>
        <v>2.5</v>
      </c>
      <c r="I52" s="84">
        <f>(H52/(H52+J52+L52+N52))</f>
        <v>0.5882352941176471</v>
      </c>
      <c r="J52" s="92">
        <f>CreativeWriting!$G$34</f>
        <v>0.625</v>
      </c>
      <c r="K52" s="84">
        <f>(J52/(H52+J52+L52+N52))</f>
        <v>0.14705882352941177</v>
      </c>
      <c r="L52" s="100">
        <f>CreativeWriting!$G$35</f>
        <v>0.75</v>
      </c>
      <c r="M52" s="84">
        <f>(L52/(H52+J52+L52+N52))</f>
        <v>0.17647058823529413</v>
      </c>
      <c r="N52" s="98">
        <f>CreativeWriting!$G$36</f>
        <v>0.375</v>
      </c>
      <c r="O52" s="84">
        <f>(N52/(H52+J52+L52+N52))</f>
        <v>0.08823529411764706</v>
      </c>
      <c r="P52" s="117" t="str">
        <f>CreativeWriting!$G$44</f>
        <v>#</v>
      </c>
      <c r="Q52" s="84">
        <v>0.9310239351533227</v>
      </c>
      <c r="R52" s="143" t="s">
        <v>280</v>
      </c>
      <c r="S52" s="197">
        <f>CreativeWriting!G31</f>
        <v>393.09045977011493</v>
      </c>
      <c r="T52" s="205">
        <v>393.09045977011493</v>
      </c>
      <c r="U52" s="206">
        <f>W52*T52</f>
        <v>820772.88</v>
      </c>
      <c r="V52" s="207">
        <f>CreativeWriting!G11+CreativeWriting!G18</f>
        <v>2088</v>
      </c>
      <c r="W52" s="208">
        <v>2088</v>
      </c>
      <c r="X52" s="209"/>
      <c r="Y52" s="217">
        <v>0.057</v>
      </c>
      <c r="Z52" s="131"/>
      <c r="AA52" s="163"/>
      <c r="AB52" s="160"/>
      <c r="AC52" s="172"/>
      <c r="AD52" s="173"/>
      <c r="AE52" s="131" t="s">
        <v>513</v>
      </c>
      <c r="AF52" s="163" t="s">
        <v>307</v>
      </c>
      <c r="AG52" s="160">
        <v>2</v>
      </c>
      <c r="AH52" s="164">
        <v>1.048780487804878</v>
      </c>
      <c r="AI52" s="162">
        <v>42.25</v>
      </c>
      <c r="AJ52" s="131" t="s">
        <v>513</v>
      </c>
      <c r="AK52" s="163" t="s">
        <v>307</v>
      </c>
      <c r="AL52" s="160">
        <v>2</v>
      </c>
      <c r="AM52" s="161">
        <v>1.048780487804878</v>
      </c>
      <c r="AN52" s="162">
        <v>42.25</v>
      </c>
      <c r="AO52" s="174"/>
      <c r="AP52" s="174" t="s">
        <v>280</v>
      </c>
      <c r="AS52" s="128"/>
      <c r="AT52" s="168" t="s">
        <v>280</v>
      </c>
      <c r="AU52" s="23" t="s">
        <v>114</v>
      </c>
      <c r="AV52" s="119">
        <v>18.333333333333332</v>
      </c>
      <c r="BU52" s="1" t="s">
        <v>114</v>
      </c>
      <c r="BW52" s="1">
        <v>3</v>
      </c>
      <c r="BX52" s="1">
        <v>5</v>
      </c>
      <c r="BY52" s="83">
        <f t="shared" si="5"/>
        <v>0.6</v>
      </c>
      <c r="CA52" s="1">
        <v>6</v>
      </c>
      <c r="CB52" s="1">
        <v>8</v>
      </c>
      <c r="CC52" s="86">
        <f>CA52/CB52</f>
        <v>0.75</v>
      </c>
      <c r="CD52" s="142">
        <f>SUM(CreativeWriting!G27:H29)</f>
        <v>820772.88</v>
      </c>
      <c r="CG52" s="1">
        <v>2</v>
      </c>
      <c r="CH52" s="1">
        <v>4</v>
      </c>
      <c r="CJ52" s="1">
        <v>4</v>
      </c>
      <c r="CK52" s="1">
        <v>4</v>
      </c>
    </row>
    <row r="53" spans="1:81" ht="28">
      <c r="A53" s="175"/>
      <c r="B53" s="38"/>
      <c r="C53" s="84"/>
      <c r="D53" s="100"/>
      <c r="E53" s="98"/>
      <c r="F53" s="84"/>
      <c r="G53" s="93"/>
      <c r="H53" s="141"/>
      <c r="I53" s="84"/>
      <c r="J53" s="92"/>
      <c r="K53" s="84"/>
      <c r="L53" s="100"/>
      <c r="M53" s="84"/>
      <c r="N53" s="98"/>
      <c r="O53" s="84"/>
      <c r="P53" s="117"/>
      <c r="Q53" s="84"/>
      <c r="S53" s="197"/>
      <c r="T53" s="213"/>
      <c r="U53" s="175"/>
      <c r="V53" s="207"/>
      <c r="W53" s="175"/>
      <c r="X53" s="209"/>
      <c r="Y53" s="175"/>
      <c r="Z53" s="131" t="s">
        <v>497</v>
      </c>
      <c r="AA53" s="163" t="s">
        <v>337</v>
      </c>
      <c r="AB53" s="160">
        <v>-49</v>
      </c>
      <c r="AC53" s="161">
        <v>0.703030303030303</v>
      </c>
      <c r="AD53" s="162">
        <v>133</v>
      </c>
      <c r="AE53" s="131" t="s">
        <v>497</v>
      </c>
      <c r="AF53" s="163" t="s">
        <v>337</v>
      </c>
      <c r="AG53" s="160">
        <v>-12</v>
      </c>
      <c r="AH53" s="164">
        <v>0.6363636363636364</v>
      </c>
      <c r="AI53" s="162">
        <v>27.25</v>
      </c>
      <c r="AJ53" s="131" t="s">
        <v>497</v>
      </c>
      <c r="AK53" s="163" t="s">
        <v>337</v>
      </c>
      <c r="AL53" s="160">
        <v>-61</v>
      </c>
      <c r="AM53" s="161">
        <v>0.6919191919191919</v>
      </c>
      <c r="AN53" s="162">
        <v>160.25</v>
      </c>
      <c r="AO53" s="174"/>
      <c r="AP53" s="174" t="s">
        <v>280</v>
      </c>
      <c r="AQ53" s="182" t="s">
        <v>280</v>
      </c>
      <c r="AR53" s="184">
        <v>34</v>
      </c>
      <c r="AS53" s="128"/>
      <c r="AT53" s="168" t="s">
        <v>280</v>
      </c>
      <c r="AU53" s="169" t="s">
        <v>280</v>
      </c>
      <c r="AV53" s="170">
        <v>11</v>
      </c>
      <c r="BY53" s="83" t="e">
        <f t="shared" si="5"/>
        <v>#DIV/0!</v>
      </c>
      <c r="CC53" s="86"/>
    </row>
    <row r="54" spans="1:81" ht="28">
      <c r="A54" s="175"/>
      <c r="B54" s="38"/>
      <c r="C54" s="84"/>
      <c r="D54" s="100"/>
      <c r="E54" s="98"/>
      <c r="F54" s="84"/>
      <c r="G54" s="93"/>
      <c r="H54" s="141"/>
      <c r="I54" s="84"/>
      <c r="J54" s="92"/>
      <c r="K54" s="84"/>
      <c r="L54" s="100"/>
      <c r="M54" s="84"/>
      <c r="N54" s="98"/>
      <c r="O54" s="84"/>
      <c r="P54" s="117"/>
      <c r="Q54" s="84"/>
      <c r="R54" s="143"/>
      <c r="S54" s="197"/>
      <c r="T54" s="205"/>
      <c r="U54" s="206"/>
      <c r="V54" s="207"/>
      <c r="W54" s="208"/>
      <c r="X54" s="209"/>
      <c r="Y54" s="218"/>
      <c r="Z54" s="131"/>
      <c r="AA54" s="163"/>
      <c r="AB54" s="160"/>
      <c r="AC54" s="161"/>
      <c r="AD54" s="162"/>
      <c r="AE54" s="131"/>
      <c r="AF54" s="176"/>
      <c r="AG54" s="139"/>
      <c r="AH54" s="177"/>
      <c r="AI54" s="178"/>
      <c r="AJ54" s="131"/>
      <c r="AK54" s="163"/>
      <c r="AL54" s="160"/>
      <c r="AM54" s="161"/>
      <c r="AN54" s="162"/>
      <c r="AO54" s="174"/>
      <c r="AP54" s="174" t="s">
        <v>280</v>
      </c>
      <c r="AQ54" s="28" t="s">
        <v>425</v>
      </c>
      <c r="AR54" s="184">
        <v>20.666666666666668</v>
      </c>
      <c r="AS54" s="128"/>
      <c r="AT54" s="38"/>
      <c r="AU54" s="23"/>
      <c r="AV54" s="119"/>
      <c r="BY54" s="83" t="e">
        <f t="shared" si="5"/>
        <v>#DIV/0!</v>
      </c>
      <c r="CC54" s="86"/>
    </row>
    <row r="55" spans="1:81" ht="28">
      <c r="A55" s="175"/>
      <c r="B55" s="38"/>
      <c r="C55" s="84"/>
      <c r="D55" s="100"/>
      <c r="E55" s="98"/>
      <c r="F55" s="84"/>
      <c r="G55" s="93"/>
      <c r="H55" s="141"/>
      <c r="I55" s="84"/>
      <c r="J55" s="92"/>
      <c r="K55" s="84"/>
      <c r="L55" s="100"/>
      <c r="M55" s="84"/>
      <c r="N55" s="98"/>
      <c r="O55" s="84"/>
      <c r="P55" s="117"/>
      <c r="Q55" s="84"/>
      <c r="R55" s="143"/>
      <c r="S55" s="197"/>
      <c r="T55" s="205"/>
      <c r="U55" s="206"/>
      <c r="V55" s="207"/>
      <c r="W55" s="208"/>
      <c r="X55" s="209"/>
      <c r="Y55" s="218"/>
      <c r="Z55" s="131" t="s">
        <v>497</v>
      </c>
      <c r="AA55" s="163" t="s">
        <v>238</v>
      </c>
      <c r="AB55" s="160">
        <v>-3</v>
      </c>
      <c r="AC55" s="172">
        <v>0.7</v>
      </c>
      <c r="AD55" s="173">
        <v>11</v>
      </c>
      <c r="AJ55" s="1" t="s">
        <v>497</v>
      </c>
      <c r="AK55" s="163" t="s">
        <v>238</v>
      </c>
      <c r="AL55" s="160">
        <v>-3</v>
      </c>
      <c r="AM55" s="161">
        <v>0.7</v>
      </c>
      <c r="AN55" s="162">
        <v>11</v>
      </c>
      <c r="AO55" s="174"/>
      <c r="AP55" s="174" t="s">
        <v>280</v>
      </c>
      <c r="AQ55" s="28" t="s">
        <v>429</v>
      </c>
      <c r="AR55" s="184">
        <v>7</v>
      </c>
      <c r="AS55" s="128"/>
      <c r="AT55" s="38"/>
      <c r="AU55" s="23"/>
      <c r="AV55" s="119"/>
      <c r="BY55" s="83" t="e">
        <f t="shared" si="5"/>
        <v>#DIV/0!</v>
      </c>
      <c r="CC55" s="86"/>
    </row>
    <row r="56" spans="1:89" ht="28">
      <c r="A56" s="175" t="s">
        <v>204</v>
      </c>
      <c r="B56" s="38">
        <f>Journalism!$G$57</f>
        <v>0</v>
      </c>
      <c r="C56" s="84">
        <f>Journalism!$G$58</f>
        <v>0.3</v>
      </c>
      <c r="D56" s="100">
        <f>Journalism!$G$55</f>
        <v>19.1</v>
      </c>
      <c r="E56" s="98">
        <f>Journalism!$G$54</f>
        <v>14</v>
      </c>
      <c r="F56" s="84">
        <f>E56/D56</f>
        <v>0.7329842931937173</v>
      </c>
      <c r="G56" s="93">
        <f>Journalism!$G$53</f>
        <v>2</v>
      </c>
      <c r="H56" s="141">
        <f>Journalism!$G$33</f>
        <v>1.7</v>
      </c>
      <c r="I56" s="84">
        <f>(H56/(H56+J56+L56+N56))</f>
        <v>0.5762711864406779</v>
      </c>
      <c r="J56" s="92">
        <f>Journalism!$G$34</f>
        <v>0.375</v>
      </c>
      <c r="K56" s="84">
        <f>(J56/(H56+J56+L56+N56))</f>
        <v>0.1271186440677966</v>
      </c>
      <c r="L56" s="100">
        <f>Journalism!$G$35</f>
        <v>0.875</v>
      </c>
      <c r="M56" s="84">
        <f>(L56/(H56+J56+L56+N56))</f>
        <v>0.2966101694915254</v>
      </c>
      <c r="N56" s="98">
        <f>Journalism!$G$36</f>
        <v>0</v>
      </c>
      <c r="O56" s="84">
        <f>(N56/(H56+J56+L56+N56))</f>
        <v>0</v>
      </c>
      <c r="P56" s="117">
        <f>Journalism!$G$44</f>
        <v>408.13559322033893</v>
      </c>
      <c r="Q56" s="84">
        <v>0.8100401086815888</v>
      </c>
      <c r="R56" s="143"/>
      <c r="S56" s="197">
        <f>Journalism!G31</f>
        <v>215.61129568106313</v>
      </c>
      <c r="T56" s="205">
        <v>215.61129568106313</v>
      </c>
      <c r="U56" s="206"/>
      <c r="V56" s="207"/>
      <c r="W56" s="208">
        <f>Journalism!G11</f>
        <v>1204</v>
      </c>
      <c r="X56" s="209"/>
      <c r="Y56" s="218">
        <v>-0.165</v>
      </c>
      <c r="Z56" s="131" t="s">
        <v>497</v>
      </c>
      <c r="AA56" s="163" t="s">
        <v>272</v>
      </c>
      <c r="AB56" s="160">
        <v>-2</v>
      </c>
      <c r="AC56" s="172">
        <v>0.9230769230769231</v>
      </c>
      <c r="AD56" s="173">
        <v>27</v>
      </c>
      <c r="AE56" s="131"/>
      <c r="AF56" s="163"/>
      <c r="AG56" s="160"/>
      <c r="AH56" s="164"/>
      <c r="AI56" s="162"/>
      <c r="AJ56" s="1" t="s">
        <v>497</v>
      </c>
      <c r="AK56" s="163" t="s">
        <v>272</v>
      </c>
      <c r="AL56" s="160">
        <v>-2</v>
      </c>
      <c r="AM56" s="161">
        <v>0.9230769230769231</v>
      </c>
      <c r="AN56" s="162">
        <v>27</v>
      </c>
      <c r="AO56" s="174"/>
      <c r="AP56" s="174" t="s">
        <v>280</v>
      </c>
      <c r="AQ56" s="28" t="s">
        <v>150</v>
      </c>
      <c r="AR56" s="184">
        <v>10.666666666666666</v>
      </c>
      <c r="AS56" s="128"/>
      <c r="AT56" s="38"/>
      <c r="AU56" s="23"/>
      <c r="AV56" s="119"/>
      <c r="BU56" s="1" t="s">
        <v>150</v>
      </c>
      <c r="BW56" s="1">
        <v>5</v>
      </c>
      <c r="BX56" s="1">
        <v>5</v>
      </c>
      <c r="BY56" s="83">
        <f t="shared" si="5"/>
        <v>1</v>
      </c>
      <c r="CA56" s="1">
        <v>7</v>
      </c>
      <c r="CB56" s="1">
        <v>8</v>
      </c>
      <c r="CC56" s="86">
        <f>CA56/CB56</f>
        <v>0.875</v>
      </c>
      <c r="CD56" s="142">
        <f>SUM(Journalism!G27:H29)</f>
        <v>259596</v>
      </c>
      <c r="CG56" s="1">
        <v>4</v>
      </c>
      <c r="CH56" s="1">
        <v>4</v>
      </c>
      <c r="CJ56" s="1">
        <v>3</v>
      </c>
      <c r="CK56" s="1">
        <v>4</v>
      </c>
    </row>
    <row r="57" spans="1:89" ht="28.75" thickBot="1">
      <c r="A57" s="175" t="s">
        <v>210</v>
      </c>
      <c r="B57" s="38">
        <f>TCOM!$G$57</f>
        <v>0</v>
      </c>
      <c r="C57" s="84">
        <f>TCOM!$G$58</f>
        <v>0.056</v>
      </c>
      <c r="D57" s="100">
        <f>TCOM!$G$55</f>
        <v>19.1</v>
      </c>
      <c r="E57" s="98">
        <f>TCOM!$G$54</f>
        <v>19</v>
      </c>
      <c r="F57" s="84">
        <f>E57/D57</f>
        <v>0.9947643979057591</v>
      </c>
      <c r="G57" s="93">
        <f>TCOM!$G$53</f>
        <v>3</v>
      </c>
      <c r="H57" s="141">
        <f>TCOM!$G$33</f>
        <v>1.7</v>
      </c>
      <c r="I57" s="84">
        <f>(H57/(H57+J57+L57+N57))</f>
        <v>0.6296296296296295</v>
      </c>
      <c r="J57" s="92">
        <f>TCOM!$G$34</f>
        <v>0.875</v>
      </c>
      <c r="K57" s="84">
        <f>(J57/(H57+J57+L57+N57))</f>
        <v>0.32407407407407407</v>
      </c>
      <c r="L57" s="100">
        <f>TCOM!$G$35</f>
        <v>0</v>
      </c>
      <c r="M57" s="84">
        <f>(L57/(H57+J57+L57+N57))</f>
        <v>0</v>
      </c>
      <c r="N57" s="98">
        <f>TCOM!$G$36</f>
        <v>0.125</v>
      </c>
      <c r="O57" s="84">
        <f>(N57/(H57+J57+L57+N57))</f>
        <v>0.046296296296296294</v>
      </c>
      <c r="P57" s="117">
        <f>TCOM!$G$44</f>
        <v>566.6666666666666</v>
      </c>
      <c r="Q57" s="84">
        <v>1.175064599483204</v>
      </c>
      <c r="R57" s="143"/>
      <c r="S57" s="197">
        <f>TCOM!G31</f>
        <v>139.2921568627451</v>
      </c>
      <c r="T57" s="205">
        <v>139.2921568627451</v>
      </c>
      <c r="U57" s="206"/>
      <c r="V57" s="207"/>
      <c r="W57" s="208">
        <f>TCOM!G11</f>
        <v>1530</v>
      </c>
      <c r="X57" s="209"/>
      <c r="Y57" s="217">
        <v>0.153</v>
      </c>
      <c r="Z57" s="131" t="s">
        <v>210</v>
      </c>
      <c r="AA57" s="163" t="s">
        <v>453</v>
      </c>
      <c r="AB57" s="160">
        <v>3</v>
      </c>
      <c r="AC57" s="172">
        <v>1.1578947368421053</v>
      </c>
      <c r="AD57" s="173">
        <v>19.25</v>
      </c>
      <c r="AJ57" s="1" t="s">
        <v>210</v>
      </c>
      <c r="AK57" s="163" t="s">
        <v>453</v>
      </c>
      <c r="AL57" s="160">
        <v>3</v>
      </c>
      <c r="AM57" s="161">
        <v>1.1578947368421053</v>
      </c>
      <c r="AN57" s="162">
        <v>19.25</v>
      </c>
      <c r="AO57" s="174"/>
      <c r="AP57" s="174"/>
      <c r="AQ57" s="183" t="s">
        <v>439</v>
      </c>
      <c r="AR57" s="184">
        <v>6.666666666666667</v>
      </c>
      <c r="AS57" s="128"/>
      <c r="AT57" s="38"/>
      <c r="AU57" s="23"/>
      <c r="AV57" s="119"/>
      <c r="BU57" s="1" t="s">
        <v>558</v>
      </c>
      <c r="BW57" s="1">
        <v>1</v>
      </c>
      <c r="BX57" s="1">
        <v>5</v>
      </c>
      <c r="BY57" s="83">
        <f t="shared" si="5"/>
        <v>0.2</v>
      </c>
      <c r="CA57" s="1">
        <v>2</v>
      </c>
      <c r="CB57" s="1">
        <v>8</v>
      </c>
      <c r="CC57" s="86">
        <f>CA57/CB57</f>
        <v>0.25</v>
      </c>
      <c r="CD57" s="142">
        <f>SUM(TCOM!G27:H29)</f>
        <v>213117</v>
      </c>
      <c r="CG57" s="1">
        <v>1</v>
      </c>
      <c r="CH57" s="1">
        <v>4</v>
      </c>
      <c r="CJ57" s="1">
        <v>1</v>
      </c>
      <c r="CK57" s="1">
        <v>4</v>
      </c>
    </row>
    <row r="58" spans="18:81" ht="28">
      <c r="R58" s="143"/>
      <c r="S58" s="197"/>
      <c r="T58" s="205"/>
      <c r="U58" s="206"/>
      <c r="V58" s="207"/>
      <c r="W58" s="208"/>
      <c r="X58" s="209"/>
      <c r="Y58" s="218"/>
      <c r="AF58" s="163"/>
      <c r="AG58" s="160"/>
      <c r="AH58" s="164"/>
      <c r="AI58" s="162"/>
      <c r="AO58" s="174"/>
      <c r="AP58" s="174" t="s">
        <v>280</v>
      </c>
      <c r="AS58" s="128"/>
      <c r="AT58" s="38" t="s">
        <v>280</v>
      </c>
      <c r="AU58" s="23" t="s">
        <v>287</v>
      </c>
      <c r="AV58" s="119">
        <v>1</v>
      </c>
      <c r="BY58" s="83" t="e">
        <f t="shared" si="5"/>
        <v>#DIV/0!</v>
      </c>
      <c r="CC58" s="86"/>
    </row>
    <row r="59" spans="1:81" ht="28.75" thickBot="1">
      <c r="A59" s="175"/>
      <c r="S59" s="197"/>
      <c r="T59" s="213"/>
      <c r="U59" s="175"/>
      <c r="V59" s="207"/>
      <c r="W59" s="175"/>
      <c r="X59" s="209"/>
      <c r="Y59" s="175"/>
      <c r="AO59" s="174"/>
      <c r="AP59" s="174"/>
      <c r="AQ59" s="28"/>
      <c r="AR59" s="184"/>
      <c r="AS59" s="128"/>
      <c r="AT59" s="39" t="s">
        <v>280</v>
      </c>
      <c r="AU59" s="40" t="s">
        <v>290</v>
      </c>
      <c r="AV59" s="120">
        <v>2</v>
      </c>
      <c r="BY59" s="83" t="e">
        <f t="shared" si="5"/>
        <v>#DIV/0!</v>
      </c>
      <c r="CC59" s="86"/>
    </row>
    <row r="60" spans="1:89" ht="28">
      <c r="A60" s="175" t="s">
        <v>309</v>
      </c>
      <c r="B60" s="37">
        <f>'Course Summary Sheet'!B19</f>
        <v>1</v>
      </c>
      <c r="C60" s="84">
        <f>'Finance &amp; Marketing'!$G$58</f>
        <v>0</v>
      </c>
      <c r="D60" s="100">
        <f>'Course Summary Sheet'!D19</f>
        <v>40</v>
      </c>
      <c r="E60" s="98">
        <f>'Finance &amp; Marketing'!$G$54</f>
        <v>25.4</v>
      </c>
      <c r="F60" s="84">
        <f aca="true" t="shared" si="9" ref="F60">E60/D60</f>
        <v>0.635</v>
      </c>
      <c r="G60" s="93">
        <f>'Finance &amp; Marketing'!$G$52</f>
        <v>7</v>
      </c>
      <c r="Q60" s="83">
        <f>'Finance &amp; Marketing'!G11/'Finance &amp; Marketing'!J11</f>
        <v>1.0032186184699183</v>
      </c>
      <c r="R60" s="143" t="s">
        <v>309</v>
      </c>
      <c r="S60" s="197"/>
      <c r="T60" s="205">
        <v>138</v>
      </c>
      <c r="U60" s="206">
        <f>W60*T60</f>
        <v>1186110</v>
      </c>
      <c r="V60" s="207"/>
      <c r="W60" s="208">
        <v>8595</v>
      </c>
      <c r="X60" s="209"/>
      <c r="Y60" s="217">
        <v>0.009</v>
      </c>
      <c r="Z60" s="131" t="s">
        <v>499</v>
      </c>
      <c r="AA60" s="163" t="s">
        <v>456</v>
      </c>
      <c r="AB60" s="160">
        <v>-24</v>
      </c>
      <c r="AC60" s="161">
        <v>0.8536585365853658</v>
      </c>
      <c r="AD60" s="162">
        <v>153.25</v>
      </c>
      <c r="AF60" s="163"/>
      <c r="AG60" s="160"/>
      <c r="AH60" s="164"/>
      <c r="AI60" s="162"/>
      <c r="AJ60" s="181" t="s">
        <v>499</v>
      </c>
      <c r="AK60" s="163" t="s">
        <v>456</v>
      </c>
      <c r="AL60" s="160">
        <v>-24</v>
      </c>
      <c r="AM60" s="161">
        <v>0.8536585365853658</v>
      </c>
      <c r="AN60" s="162">
        <v>153.25</v>
      </c>
      <c r="AO60" s="174"/>
      <c r="AP60" s="174" t="s">
        <v>309</v>
      </c>
      <c r="AQ60" s="28" t="s">
        <v>445</v>
      </c>
      <c r="AR60" s="184">
        <v>81.33333333333333</v>
      </c>
      <c r="AS60" s="128"/>
      <c r="AT60" s="38"/>
      <c r="AU60" s="23"/>
      <c r="AV60" s="119"/>
      <c r="BU60" s="1" t="s">
        <v>309</v>
      </c>
      <c r="BW60" s="1">
        <v>2</v>
      </c>
      <c r="BX60" s="1">
        <v>5</v>
      </c>
      <c r="BY60" s="83">
        <f t="shared" si="5"/>
        <v>0.4</v>
      </c>
      <c r="CA60" s="1">
        <v>1</v>
      </c>
      <c r="CB60" s="1">
        <v>8</v>
      </c>
      <c r="CC60" s="86">
        <f>CA60/CB60</f>
        <v>0.125</v>
      </c>
      <c r="CD60" s="142">
        <f>SUM('Finance &amp; Marketing'!G27:H29)</f>
        <v>1172206.1600000001</v>
      </c>
      <c r="CG60" s="1">
        <v>0</v>
      </c>
      <c r="CH60" s="1">
        <v>4</v>
      </c>
      <c r="CJ60" s="1">
        <v>1</v>
      </c>
      <c r="CK60" s="1">
        <v>4</v>
      </c>
    </row>
    <row r="61" spans="1:81" ht="28.75" thickBot="1">
      <c r="A61" s="175"/>
      <c r="R61" s="190"/>
      <c r="S61" s="197"/>
      <c r="T61" s="214"/>
      <c r="U61" s="215"/>
      <c r="V61" s="207"/>
      <c r="W61" s="216"/>
      <c r="X61" s="209"/>
      <c r="Y61" s="220"/>
      <c r="Z61" s="131" t="s">
        <v>499</v>
      </c>
      <c r="AA61" s="163" t="s">
        <v>299</v>
      </c>
      <c r="AB61" s="160">
        <v>26</v>
      </c>
      <c r="AC61" s="172">
        <v>1.1721854304635762</v>
      </c>
      <c r="AD61" s="173">
        <v>158</v>
      </c>
      <c r="AE61" s="131"/>
      <c r="AF61" s="163"/>
      <c r="AG61" s="160"/>
      <c r="AH61" s="164"/>
      <c r="AI61" s="162"/>
      <c r="AJ61" s="1" t="s">
        <v>499</v>
      </c>
      <c r="AK61" s="163" t="s">
        <v>299</v>
      </c>
      <c r="AL61" s="160">
        <v>26</v>
      </c>
      <c r="AM61" s="161">
        <v>1.1721854304635762</v>
      </c>
      <c r="AN61" s="162">
        <v>158</v>
      </c>
      <c r="AO61" s="174"/>
      <c r="AP61" s="174" t="s">
        <v>309</v>
      </c>
      <c r="AQ61" s="28" t="s">
        <v>450</v>
      </c>
      <c r="AR61" s="184">
        <v>57.333333333333336</v>
      </c>
      <c r="AS61" s="128"/>
      <c r="AT61" s="38"/>
      <c r="AU61" s="23"/>
      <c r="AV61" s="119"/>
      <c r="BY61" s="83" t="e">
        <f t="shared" si="5"/>
        <v>#DIV/0!</v>
      </c>
      <c r="CC61" s="86"/>
    </row>
    <row r="62" spans="1:81" ht="28.75" thickBot="1">
      <c r="A62" s="175" t="s">
        <v>197</v>
      </c>
      <c r="B62" s="38">
        <f>GEAN!$G$57</f>
        <v>4</v>
      </c>
      <c r="C62" s="84">
        <f>GEAN!$G$58</f>
        <v>0.264</v>
      </c>
      <c r="D62" s="100">
        <f>GEAN!$G$55</f>
        <v>21.4</v>
      </c>
      <c r="E62" s="98">
        <f>GEAN!$G$54</f>
        <v>18</v>
      </c>
      <c r="F62" s="84">
        <f t="shared" si="0"/>
        <v>0.8411214953271029</v>
      </c>
      <c r="G62" s="93">
        <f>GEAN!$G$53</f>
        <v>8</v>
      </c>
      <c r="H62" s="141">
        <f>GEAN!$G$33</f>
        <v>11.8</v>
      </c>
      <c r="I62" s="84">
        <f t="shared" si="1"/>
        <v>0.7399407768681414</v>
      </c>
      <c r="J62" s="92">
        <f>GEAN!$G$34</f>
        <v>2.25</v>
      </c>
      <c r="K62" s="84">
        <f t="shared" si="2"/>
        <v>0.14109040236892526</v>
      </c>
      <c r="L62" s="100">
        <f>GEAN!$G$35</f>
        <v>1.8972222222222221</v>
      </c>
      <c r="M62" s="84">
        <f t="shared" si="3"/>
        <v>0.11896882076293328</v>
      </c>
      <c r="N62" s="98">
        <f>GEAN!$G$36</f>
        <v>0</v>
      </c>
      <c r="O62" s="84">
        <f t="shared" si="4"/>
        <v>0</v>
      </c>
      <c r="P62" s="117">
        <f>GEAN!$G$44</f>
        <v>853.1893398362654</v>
      </c>
      <c r="Q62" s="84">
        <v>1.0598729998755991</v>
      </c>
      <c r="R62" s="143" t="s">
        <v>316</v>
      </c>
      <c r="S62" s="197"/>
      <c r="T62" s="205">
        <v>87</v>
      </c>
      <c r="U62" s="206">
        <f t="shared" si="7"/>
        <v>1069143</v>
      </c>
      <c r="V62" s="207"/>
      <c r="W62" s="208">
        <v>12289</v>
      </c>
      <c r="X62" s="209"/>
      <c r="Y62" s="218">
        <v>-0.0525788296970164</v>
      </c>
      <c r="AO62" s="174"/>
      <c r="AP62" s="185" t="s">
        <v>295</v>
      </c>
      <c r="AQ62" s="28"/>
      <c r="AR62" s="184"/>
      <c r="AS62" s="128"/>
      <c r="AT62" s="38"/>
      <c r="AU62" s="23"/>
      <c r="AV62" s="119"/>
      <c r="BY62" s="83" t="e">
        <f t="shared" si="5"/>
        <v>#DIV/0!</v>
      </c>
      <c r="CC62" s="86"/>
    </row>
    <row r="63" spans="1:89" ht="28">
      <c r="A63" s="175" t="s">
        <v>198</v>
      </c>
      <c r="B63" s="38">
        <f>ANTR!$G$57</f>
        <v>1</v>
      </c>
      <c r="C63" s="84">
        <f>ANTR!$G$58</f>
        <v>0.108</v>
      </c>
      <c r="D63" s="100">
        <f>ANTR!$G$55</f>
        <v>21.4</v>
      </c>
      <c r="E63" s="98">
        <f>ANTR!$G$54</f>
        <v>24</v>
      </c>
      <c r="F63" s="84">
        <f t="shared" si="0"/>
        <v>1.1214953271028039</v>
      </c>
      <c r="G63" s="93">
        <f>ANTR!$G$53</f>
        <v>3</v>
      </c>
      <c r="H63" s="141">
        <f>ANTR!$G$33</f>
        <v>2.2</v>
      </c>
      <c r="I63" s="84">
        <f t="shared" si="1"/>
        <v>0.6376811594202899</v>
      </c>
      <c r="J63" s="92">
        <f>ANTR!$G$34</f>
        <v>0.5</v>
      </c>
      <c r="K63" s="84">
        <f t="shared" si="2"/>
        <v>0.14492753623188406</v>
      </c>
      <c r="L63" s="100">
        <f>ANTR!$G$35</f>
        <v>0.75</v>
      </c>
      <c r="M63" s="84">
        <f t="shared" si="3"/>
        <v>0.21739130434782608</v>
      </c>
      <c r="N63" s="98">
        <f>ANTR!$G$36</f>
        <v>0</v>
      </c>
      <c r="O63" s="84">
        <f t="shared" si="4"/>
        <v>0</v>
      </c>
      <c r="P63" s="117">
        <f>ANTR!$G$44</f>
        <v>1201.4492753623188</v>
      </c>
      <c r="Q63" s="84">
        <v>0.9861558766150016</v>
      </c>
      <c r="R63" s="143"/>
      <c r="S63" s="197"/>
      <c r="T63" s="205">
        <f>ANTR!G31</f>
        <v>117.86686369119421</v>
      </c>
      <c r="U63" s="206"/>
      <c r="V63" s="207"/>
      <c r="W63" s="208">
        <v>4145</v>
      </c>
      <c r="X63" s="209"/>
      <c r="Y63" s="218">
        <v>-0.129</v>
      </c>
      <c r="Z63" s="131" t="s">
        <v>198</v>
      </c>
      <c r="AA63" s="163" t="s">
        <v>249</v>
      </c>
      <c r="AB63" s="160">
        <v>-18</v>
      </c>
      <c r="AC63" s="161">
        <v>0.5609756097560976</v>
      </c>
      <c r="AD63" s="162">
        <v>32.5</v>
      </c>
      <c r="AJ63" s="131" t="s">
        <v>198</v>
      </c>
      <c r="AK63" s="163" t="s">
        <v>249</v>
      </c>
      <c r="AL63" s="160">
        <v>-18</v>
      </c>
      <c r="AM63" s="161">
        <v>0.5609756097560976</v>
      </c>
      <c r="AN63" s="162">
        <v>32.5</v>
      </c>
      <c r="AO63" s="174"/>
      <c r="AP63" s="185" t="s">
        <v>295</v>
      </c>
      <c r="AQ63" s="182" t="s">
        <v>128</v>
      </c>
      <c r="AR63" s="184">
        <v>15</v>
      </c>
      <c r="AS63" s="128"/>
      <c r="AT63" s="38"/>
      <c r="AU63" s="23"/>
      <c r="AV63" s="119"/>
      <c r="BU63" s="1" t="s">
        <v>128</v>
      </c>
      <c r="BW63" s="1">
        <v>2</v>
      </c>
      <c r="BX63" s="1">
        <v>5</v>
      </c>
      <c r="BY63" s="83">
        <f t="shared" si="5"/>
        <v>0.4</v>
      </c>
      <c r="CA63" s="1">
        <v>4</v>
      </c>
      <c r="CB63" s="1">
        <v>8</v>
      </c>
      <c r="CC63" s="86">
        <f>CA63/CB63</f>
        <v>0.5</v>
      </c>
      <c r="CD63" s="142">
        <f>SUM(ANTR!G27:H29)</f>
        <v>488558.15</v>
      </c>
      <c r="CG63" s="1">
        <v>3</v>
      </c>
      <c r="CH63" s="1">
        <v>4</v>
      </c>
      <c r="CJ63" s="1">
        <v>1</v>
      </c>
      <c r="CK63" s="1">
        <v>4</v>
      </c>
    </row>
    <row r="64" spans="1:89" ht="28.75" thickBot="1">
      <c r="A64" s="175" t="s">
        <v>199</v>
      </c>
      <c r="B64" s="38">
        <f>GEOG!$G$57</f>
        <v>1</v>
      </c>
      <c r="C64" s="84">
        <f>GEOG!$G$58</f>
        <v>0.322</v>
      </c>
      <c r="D64" s="100">
        <f>GEOG!$G$55</f>
        <v>21.4</v>
      </c>
      <c r="E64" s="98">
        <f>GEOG!$G$54</f>
        <v>19</v>
      </c>
      <c r="F64" s="84">
        <f t="shared" si="0"/>
        <v>0.8878504672897197</v>
      </c>
      <c r="G64" s="93">
        <f>GEOG!$G$53</f>
        <v>4</v>
      </c>
      <c r="H64" s="141">
        <f>GEOG!$G$33</f>
        <v>4.800000000000001</v>
      </c>
      <c r="I64" s="84">
        <f t="shared" si="1"/>
        <v>0.8275862068965517</v>
      </c>
      <c r="J64" s="92">
        <f>GEOG!$G$34</f>
        <v>0.5</v>
      </c>
      <c r="K64" s="84">
        <f t="shared" si="2"/>
        <v>0.08620689655172413</v>
      </c>
      <c r="L64" s="100">
        <f>GEOG!$G$35</f>
        <v>0.5</v>
      </c>
      <c r="M64" s="84">
        <f t="shared" si="3"/>
        <v>0.08620689655172413</v>
      </c>
      <c r="N64" s="98">
        <f>GEOG!$G$36</f>
        <v>0</v>
      </c>
      <c r="O64" s="84">
        <f t="shared" si="4"/>
        <v>0</v>
      </c>
      <c r="P64" s="117">
        <f>GEOG!$G$44</f>
        <v>1316.0344827586205</v>
      </c>
      <c r="Q64" s="84">
        <v>1.2723812447949059</v>
      </c>
      <c r="R64" s="143"/>
      <c r="S64" s="197"/>
      <c r="T64" s="205">
        <f>GEOG!G31</f>
        <v>73.70749508712171</v>
      </c>
      <c r="U64" s="206"/>
      <c r="V64" s="207"/>
      <c r="W64" s="208">
        <v>7633</v>
      </c>
      <c r="X64" s="209"/>
      <c r="Y64" s="217">
        <v>0.053</v>
      </c>
      <c r="Z64" s="131" t="s">
        <v>199</v>
      </c>
      <c r="AA64" s="163" t="s">
        <v>351</v>
      </c>
      <c r="AB64" s="160">
        <v>-21</v>
      </c>
      <c r="AC64" s="161">
        <v>0.5714285714285714</v>
      </c>
      <c r="AD64" s="162">
        <v>39.25</v>
      </c>
      <c r="AE64" s="131" t="s">
        <v>199</v>
      </c>
      <c r="AF64" s="163" t="s">
        <v>351</v>
      </c>
      <c r="AG64" s="160">
        <v>-3</v>
      </c>
      <c r="AH64" s="164">
        <v>0</v>
      </c>
      <c r="AI64" s="162">
        <v>1.5</v>
      </c>
      <c r="AJ64" s="1" t="s">
        <v>199</v>
      </c>
      <c r="AK64" s="163" t="s">
        <v>351</v>
      </c>
      <c r="AL64" s="160">
        <v>-24</v>
      </c>
      <c r="AM64" s="161">
        <v>0.5384615384615384</v>
      </c>
      <c r="AN64" s="162">
        <v>40.75</v>
      </c>
      <c r="AO64" s="174"/>
      <c r="AP64" s="37" t="s">
        <v>295</v>
      </c>
      <c r="AQ64" s="28" t="s">
        <v>130</v>
      </c>
      <c r="AR64" s="184">
        <v>11</v>
      </c>
      <c r="AS64" s="128"/>
      <c r="AT64" s="38"/>
      <c r="AU64" s="23"/>
      <c r="AV64" s="119"/>
      <c r="BU64" s="1" t="s">
        <v>130</v>
      </c>
      <c r="BW64" s="1">
        <v>3</v>
      </c>
      <c r="BX64" s="1">
        <v>5</v>
      </c>
      <c r="BY64" s="83">
        <f t="shared" si="5"/>
        <v>0.6</v>
      </c>
      <c r="CA64" s="1">
        <v>4</v>
      </c>
      <c r="CB64" s="1">
        <v>8</v>
      </c>
      <c r="CC64" s="86">
        <f aca="true" t="shared" si="10" ref="CC64:CC67">CA64/CB64</f>
        <v>0.5</v>
      </c>
      <c r="CD64" s="142">
        <f>SUM(GEOG!G27:H29)</f>
        <v>562609.31</v>
      </c>
      <c r="CG64" s="1">
        <v>2</v>
      </c>
      <c r="CH64" s="1">
        <v>4</v>
      </c>
      <c r="CJ64" s="1">
        <v>2</v>
      </c>
      <c r="CK64" s="1">
        <v>4</v>
      </c>
    </row>
    <row r="65" spans="1:81" ht="28.75" thickBot="1">
      <c r="A65" s="175" t="s">
        <v>200</v>
      </c>
      <c r="B65" s="38">
        <f>GIPAGraduate!$G$57</f>
        <v>0</v>
      </c>
      <c r="C65" s="84">
        <f>GIPAGraduate!$G$58</f>
        <v>0.824</v>
      </c>
      <c r="D65" s="100">
        <f>GIPAGraduate!$G$55</f>
        <v>3.9</v>
      </c>
      <c r="E65" s="98">
        <f>GIPAGraduate!$G$54</f>
        <v>3</v>
      </c>
      <c r="F65" s="84">
        <f t="shared" si="0"/>
        <v>0.7692307692307693</v>
      </c>
      <c r="G65" s="93">
        <f>GIPAGraduate!$G$53</f>
        <v>0</v>
      </c>
      <c r="H65" s="141">
        <f>GIPAGraduate!$G$33</f>
        <v>1.9000000000000001</v>
      </c>
      <c r="I65" s="84">
        <f t="shared" si="1"/>
        <v>0.9884393063583815</v>
      </c>
      <c r="J65" s="92">
        <f>GIPAGraduate!$G$34</f>
        <v>0</v>
      </c>
      <c r="K65" s="84">
        <f t="shared" si="2"/>
        <v>0</v>
      </c>
      <c r="L65" s="100">
        <f>GIPAGraduate!$G$35</f>
        <v>0.022222222222222223</v>
      </c>
      <c r="M65" s="84">
        <f t="shared" si="3"/>
        <v>0.011560693641618497</v>
      </c>
      <c r="N65" s="98">
        <f>GIPAGraduate!$G$36</f>
        <v>0</v>
      </c>
      <c r="O65" s="84">
        <f t="shared" si="4"/>
        <v>0</v>
      </c>
      <c r="P65" s="117">
        <f>GIPAGraduate!$G$44</f>
        <v>167.514450867052</v>
      </c>
      <c r="Q65" s="84">
        <v>0.8160530472669201</v>
      </c>
      <c r="R65" s="143"/>
      <c r="S65" s="197"/>
      <c r="T65" s="205"/>
      <c r="U65" s="206"/>
      <c r="V65" s="207"/>
      <c r="W65" s="208"/>
      <c r="X65" s="209"/>
      <c r="Y65" s="218"/>
      <c r="Z65" s="131"/>
      <c r="AA65" s="163"/>
      <c r="AB65" s="160"/>
      <c r="AC65" s="161"/>
      <c r="AD65" s="162"/>
      <c r="AE65" s="131" t="s">
        <v>131</v>
      </c>
      <c r="AF65" s="163" t="s">
        <v>355</v>
      </c>
      <c r="AG65" s="160">
        <v>17</v>
      </c>
      <c r="AH65" s="164" t="e">
        <v>#DIV/0!</v>
      </c>
      <c r="AI65" s="162">
        <v>10.5</v>
      </c>
      <c r="AJ65" s="1" t="s">
        <v>131</v>
      </c>
      <c r="AK65" s="163" t="s">
        <v>355</v>
      </c>
      <c r="AL65" s="160">
        <v>17</v>
      </c>
      <c r="AM65" s="161" t="e">
        <v>#DIV/0!</v>
      </c>
      <c r="AN65" s="162">
        <v>10.5</v>
      </c>
      <c r="AO65" s="174"/>
      <c r="AP65" s="82"/>
      <c r="AQ65" s="174"/>
      <c r="AR65" s="184"/>
      <c r="AS65" s="128"/>
      <c r="AT65" s="168" t="s">
        <v>295</v>
      </c>
      <c r="AU65" s="169" t="s">
        <v>296</v>
      </c>
      <c r="AV65" s="170">
        <v>2.6666666666666665</v>
      </c>
      <c r="BY65" s="83" t="e">
        <f t="shared" si="5"/>
        <v>#DIV/0!</v>
      </c>
      <c r="CC65" s="86"/>
    </row>
    <row r="66" spans="1:89" ht="28.75" thickBot="1">
      <c r="A66" s="175" t="s">
        <v>201</v>
      </c>
      <c r="B66" s="38">
        <f>PLAN!$G$57</f>
        <v>2</v>
      </c>
      <c r="C66" s="84">
        <f>PLAN!$G$58</f>
        <v>0.346</v>
      </c>
      <c r="D66" s="100">
        <f>PLAN!$G$55</f>
        <v>18.6</v>
      </c>
      <c r="E66" s="98">
        <f>PLAN!$G$54</f>
        <v>13</v>
      </c>
      <c r="F66" s="84">
        <f t="shared" si="0"/>
        <v>0.6989247311827956</v>
      </c>
      <c r="G66" s="93">
        <f>PLAN!$G$53</f>
        <v>1</v>
      </c>
      <c r="H66" s="141">
        <f>PLAN!$G$33</f>
        <v>2.9</v>
      </c>
      <c r="I66" s="84">
        <f t="shared" si="1"/>
        <v>0.6073298429319371</v>
      </c>
      <c r="J66" s="92">
        <f>PLAN!$G$34</f>
        <v>1.25</v>
      </c>
      <c r="K66" s="84">
        <f t="shared" si="2"/>
        <v>0.2617801047120419</v>
      </c>
      <c r="L66" s="100">
        <f>PLAN!$G$35</f>
        <v>0.625</v>
      </c>
      <c r="M66" s="84">
        <f t="shared" si="3"/>
        <v>0.13089005235602094</v>
      </c>
      <c r="N66" s="98">
        <f>PLAN!$G$36</f>
        <v>0</v>
      </c>
      <c r="O66" s="84">
        <f t="shared" si="4"/>
        <v>0</v>
      </c>
      <c r="P66" s="117">
        <f>PLAN!$G$44</f>
        <v>315.39267015706804</v>
      </c>
      <c r="Q66" s="84">
        <v>1.0734141126158234</v>
      </c>
      <c r="R66" s="143" t="s">
        <v>385</v>
      </c>
      <c r="S66" s="197"/>
      <c r="T66" s="205">
        <f>PLAN!G31</f>
        <v>353.8428685258964</v>
      </c>
      <c r="U66" s="206">
        <f aca="true" t="shared" si="11" ref="U66">W66*T66</f>
        <v>532887.36</v>
      </c>
      <c r="V66" s="207"/>
      <c r="W66" s="208">
        <f>PLAN!G11+PLAN!G18</f>
        <v>1506</v>
      </c>
      <c r="X66" s="209"/>
      <c r="Y66" s="217">
        <v>0.004</v>
      </c>
      <c r="Z66" s="131" t="s">
        <v>201</v>
      </c>
      <c r="AA66" s="163" t="s">
        <v>457</v>
      </c>
      <c r="AB66" s="160">
        <v>-2</v>
      </c>
      <c r="AC66" s="172">
        <v>0.92</v>
      </c>
      <c r="AD66" s="173">
        <v>22.5</v>
      </c>
      <c r="AE66" s="131" t="s">
        <v>201</v>
      </c>
      <c r="AF66" s="163" t="s">
        <v>457</v>
      </c>
      <c r="AG66" s="160">
        <v>2</v>
      </c>
      <c r="AH66" s="164">
        <v>1.125</v>
      </c>
      <c r="AI66" s="162">
        <v>17.25</v>
      </c>
      <c r="AJ66" s="1" t="s">
        <v>201</v>
      </c>
      <c r="AK66" s="163" t="s">
        <v>457</v>
      </c>
      <c r="AL66" s="160">
        <v>0</v>
      </c>
      <c r="AM66" s="161">
        <v>1</v>
      </c>
      <c r="AN66" s="162">
        <v>39.75</v>
      </c>
      <c r="AO66" s="174"/>
      <c r="AP66" s="82" t="s">
        <v>295</v>
      </c>
      <c r="AQ66" s="183" t="s">
        <v>304</v>
      </c>
      <c r="AR66" s="184">
        <v>9</v>
      </c>
      <c r="AS66" s="128"/>
      <c r="AT66" s="39" t="s">
        <v>295</v>
      </c>
      <c r="AU66" s="40" t="s">
        <v>304</v>
      </c>
      <c r="AV66" s="120">
        <v>5.666666666666667</v>
      </c>
      <c r="BU66" s="1" t="s">
        <v>559</v>
      </c>
      <c r="BW66" s="1">
        <v>4</v>
      </c>
      <c r="BX66" s="1">
        <v>6</v>
      </c>
      <c r="BY66" s="83">
        <f t="shared" si="5"/>
        <v>0.6666666666666666</v>
      </c>
      <c r="CA66" s="1">
        <v>7</v>
      </c>
      <c r="CB66" s="1">
        <v>10</v>
      </c>
      <c r="CC66" s="86">
        <f t="shared" si="10"/>
        <v>0.7</v>
      </c>
      <c r="CD66" s="142">
        <f>SUM(PLAN!G27:H29)</f>
        <v>532887.36</v>
      </c>
      <c r="CG66" s="1">
        <v>4</v>
      </c>
      <c r="CH66" s="1">
        <v>6</v>
      </c>
      <c r="CJ66" s="1">
        <v>3</v>
      </c>
      <c r="CK66" s="1">
        <v>4</v>
      </c>
    </row>
    <row r="67" spans="1:89" ht="28.75" thickBot="1">
      <c r="A67" s="175" t="s">
        <v>202</v>
      </c>
      <c r="B67" s="38">
        <f>GEOL!$G$57</f>
        <v>0</v>
      </c>
      <c r="C67" s="84">
        <f>GEOL!$G$58</f>
        <v>0.167</v>
      </c>
      <c r="D67" s="100">
        <f>GEOL!$G$55</f>
        <v>20.2</v>
      </c>
      <c r="E67" s="98">
        <f>GEOL!$G$54</f>
        <v>28</v>
      </c>
      <c r="F67" s="84">
        <f t="shared" si="0"/>
        <v>1.3861386138613863</v>
      </c>
      <c r="G67" s="93">
        <f>GEOL!$G$53</f>
        <v>4</v>
      </c>
      <c r="H67" s="141">
        <f>GEOL!$G$33</f>
        <v>2.4</v>
      </c>
      <c r="I67" s="84">
        <f t="shared" si="1"/>
        <v>0.42477876106194684</v>
      </c>
      <c r="J67" s="92">
        <f>GEOL!$G$34</f>
        <v>2.25</v>
      </c>
      <c r="K67" s="84">
        <f t="shared" si="2"/>
        <v>0.3982300884955752</v>
      </c>
      <c r="L67" s="100">
        <f>GEOL!$G$35</f>
        <v>1</v>
      </c>
      <c r="M67" s="84">
        <f t="shared" si="3"/>
        <v>0.17699115044247787</v>
      </c>
      <c r="N67" s="98">
        <f>GEOL!$G$36</f>
        <v>0</v>
      </c>
      <c r="O67" s="84">
        <f t="shared" si="4"/>
        <v>0</v>
      </c>
      <c r="P67" s="117">
        <f>GEOL!$G$44</f>
        <v>1290.9734513274336</v>
      </c>
      <c r="Q67" s="84">
        <v>0.8647117401721136</v>
      </c>
      <c r="R67" s="143" t="s">
        <v>135</v>
      </c>
      <c r="S67" s="197"/>
      <c r="T67" s="205">
        <v>135</v>
      </c>
      <c r="U67" s="206">
        <f t="shared" si="7"/>
        <v>996165</v>
      </c>
      <c r="V67" s="207"/>
      <c r="W67" s="208">
        <v>7379</v>
      </c>
      <c r="X67" s="209"/>
      <c r="Y67" s="218">
        <v>-0.0692482341069627</v>
      </c>
      <c r="Z67" s="131" t="s">
        <v>202</v>
      </c>
      <c r="AA67" s="163" t="s">
        <v>466</v>
      </c>
      <c r="AB67" s="160">
        <v>-18</v>
      </c>
      <c r="AC67" s="161">
        <v>0.5714285714285714</v>
      </c>
      <c r="AD67" s="162">
        <v>30.75</v>
      </c>
      <c r="AE67" s="131"/>
      <c r="AF67" s="163"/>
      <c r="AG67" s="160"/>
      <c r="AH67" s="164"/>
      <c r="AI67" s="162"/>
      <c r="AJ67" s="1" t="s">
        <v>202</v>
      </c>
      <c r="AK67" s="163" t="s">
        <v>466</v>
      </c>
      <c r="AL67" s="160">
        <v>-18</v>
      </c>
      <c r="AM67" s="161">
        <v>0.5714285714285714</v>
      </c>
      <c r="AN67" s="162">
        <v>30.75</v>
      </c>
      <c r="AO67" s="174"/>
      <c r="AP67" s="82" t="s">
        <v>135</v>
      </c>
      <c r="AQ67" s="183" t="s">
        <v>135</v>
      </c>
      <c r="AR67" s="184">
        <v>11</v>
      </c>
      <c r="AS67" s="128"/>
      <c r="AT67" s="39"/>
      <c r="AU67" s="40"/>
      <c r="AV67" s="120"/>
      <c r="BU67" s="1" t="s">
        <v>135</v>
      </c>
      <c r="BW67" s="1">
        <v>2</v>
      </c>
      <c r="BX67" s="1">
        <v>5</v>
      </c>
      <c r="BY67" s="83">
        <f t="shared" si="5"/>
        <v>0.4</v>
      </c>
      <c r="CA67" s="1">
        <v>4</v>
      </c>
      <c r="CB67" s="1">
        <v>8</v>
      </c>
      <c r="CC67" s="86">
        <f t="shared" si="10"/>
        <v>0.5</v>
      </c>
      <c r="CD67" s="142">
        <f>SUM(GEOL!G27:H29)</f>
        <v>974025.03</v>
      </c>
      <c r="CG67" s="1">
        <v>3</v>
      </c>
      <c r="CH67" s="1">
        <v>4</v>
      </c>
      <c r="CJ67" s="1">
        <v>1</v>
      </c>
      <c r="CK67" s="1">
        <v>4</v>
      </c>
    </row>
    <row r="68" spans="1:81" ht="28.75" thickBot="1">
      <c r="A68" s="175"/>
      <c r="B68" s="38"/>
      <c r="C68" s="84"/>
      <c r="D68" s="100"/>
      <c r="E68" s="98"/>
      <c r="F68" s="84"/>
      <c r="G68" s="93"/>
      <c r="H68" s="141"/>
      <c r="I68" s="84"/>
      <c r="J68" s="92"/>
      <c r="K68" s="84"/>
      <c r="L68" s="100"/>
      <c r="M68" s="84"/>
      <c r="N68" s="98"/>
      <c r="O68" s="84"/>
      <c r="P68" s="117"/>
      <c r="Q68" s="84"/>
      <c r="R68" s="143"/>
      <c r="S68" s="197"/>
      <c r="T68" s="205"/>
      <c r="U68" s="206"/>
      <c r="V68" s="207"/>
      <c r="W68" s="208"/>
      <c r="X68" s="209"/>
      <c r="Y68" s="218"/>
      <c r="Z68" s="131" t="s">
        <v>202</v>
      </c>
      <c r="AA68" s="163" t="s">
        <v>405</v>
      </c>
      <c r="AB68" s="160">
        <v>2</v>
      </c>
      <c r="AC68" s="161">
        <v>1.4</v>
      </c>
      <c r="AD68" s="162">
        <v>5.5</v>
      </c>
      <c r="AE68" s="131"/>
      <c r="AF68" s="163"/>
      <c r="AG68" s="160"/>
      <c r="AH68" s="164"/>
      <c r="AI68" s="162"/>
      <c r="AJ68" s="131" t="s">
        <v>202</v>
      </c>
      <c r="AK68" s="163" t="s">
        <v>405</v>
      </c>
      <c r="AL68" s="160">
        <v>2</v>
      </c>
      <c r="AM68" s="161">
        <v>1.4</v>
      </c>
      <c r="AN68" s="162">
        <v>5.5</v>
      </c>
      <c r="AO68" s="174"/>
      <c r="AP68" s="37" t="s">
        <v>135</v>
      </c>
      <c r="AQ68" s="28" t="s">
        <v>464</v>
      </c>
      <c r="AR68" s="184">
        <v>0</v>
      </c>
      <c r="AS68" s="128"/>
      <c r="AT68" s="39"/>
      <c r="AU68" s="40"/>
      <c r="AV68" s="120"/>
      <c r="BY68" s="83" t="e">
        <f t="shared" si="5"/>
        <v>#DIV/0!</v>
      </c>
      <c r="CC68" s="86"/>
    </row>
    <row r="69" spans="1:81" ht="28.75" thickBot="1">
      <c r="A69" s="175"/>
      <c r="B69" s="38"/>
      <c r="C69" s="84"/>
      <c r="D69" s="100"/>
      <c r="E69" s="98"/>
      <c r="F69" s="84"/>
      <c r="G69" s="93"/>
      <c r="H69" s="141"/>
      <c r="I69" s="84"/>
      <c r="J69" s="92"/>
      <c r="K69" s="84"/>
      <c r="L69" s="100"/>
      <c r="M69" s="84"/>
      <c r="N69" s="98"/>
      <c r="O69" s="84"/>
      <c r="P69" s="117"/>
      <c r="Q69" s="84"/>
      <c r="R69" s="143"/>
      <c r="S69" s="197"/>
      <c r="T69" s="205"/>
      <c r="U69" s="206"/>
      <c r="V69" s="207"/>
      <c r="W69" s="208"/>
      <c r="X69" s="209"/>
      <c r="Y69" s="218"/>
      <c r="Z69" s="131"/>
      <c r="AA69" s="163"/>
      <c r="AB69" s="160"/>
      <c r="AC69" s="161"/>
      <c r="AD69" s="162"/>
      <c r="AE69" s="131"/>
      <c r="AF69" s="163"/>
      <c r="AG69" s="160"/>
      <c r="AH69" s="164"/>
      <c r="AI69" s="162"/>
      <c r="AJ69" s="131"/>
      <c r="AK69" s="163"/>
      <c r="AL69" s="160"/>
      <c r="AM69" s="161"/>
      <c r="AN69" s="162"/>
      <c r="AO69" s="174"/>
      <c r="AP69" s="37" t="s">
        <v>135</v>
      </c>
      <c r="AQ69" s="28" t="s">
        <v>269</v>
      </c>
      <c r="AR69" s="184">
        <v>7</v>
      </c>
      <c r="AS69" s="128"/>
      <c r="AT69" s="39"/>
      <c r="AU69" s="40"/>
      <c r="AV69" s="120"/>
      <c r="BY69" s="83" t="e">
        <f t="shared" si="5"/>
        <v>#DIV/0!</v>
      </c>
      <c r="CC69" s="86"/>
    </row>
    <row r="70" spans="1:89" ht="28.75" thickBot="1">
      <c r="A70" s="175" t="s">
        <v>139</v>
      </c>
      <c r="B70" s="38">
        <f>HealthServicesAdmin!$G$57</f>
        <v>0</v>
      </c>
      <c r="C70" s="84">
        <f>HealthServicesAdmin!$G$58</f>
        <v>0.133</v>
      </c>
      <c r="D70" s="100">
        <f>HealthServicesAdmin!$G$55</f>
        <v>15.7</v>
      </c>
      <c r="E70" s="98">
        <f>HealthServicesAdmin!$G$54</f>
        <v>23</v>
      </c>
      <c r="F70" s="84">
        <f t="shared" si="0"/>
        <v>1.4649681528662422</v>
      </c>
      <c r="G70" s="93">
        <f>HealthServicesAdmin!$G$53</f>
        <v>2</v>
      </c>
      <c r="H70" s="141">
        <f>HealthServicesAdmin!$G$33</f>
        <v>0.4</v>
      </c>
      <c r="I70" s="84">
        <f t="shared" si="1"/>
        <v>0.24242424242424246</v>
      </c>
      <c r="J70" s="92">
        <f>HealthServicesAdmin!$G$34</f>
        <v>0.875</v>
      </c>
      <c r="K70" s="84">
        <f t="shared" si="2"/>
        <v>0.5303030303030303</v>
      </c>
      <c r="L70" s="100">
        <f>HealthServicesAdmin!$G$35</f>
        <v>0.375</v>
      </c>
      <c r="M70" s="84">
        <f t="shared" si="3"/>
        <v>0.2272727272727273</v>
      </c>
      <c r="N70" s="98">
        <f>HealthServicesAdmin!$G$36</f>
        <v>0</v>
      </c>
      <c r="O70" s="84">
        <f t="shared" si="4"/>
        <v>0</v>
      </c>
      <c r="P70" s="117">
        <f>HealthServicesAdmin!$G$44</f>
        <v>715.7575757575758</v>
      </c>
      <c r="Q70" s="84">
        <v>0.8853447365642487</v>
      </c>
      <c r="R70" s="143" t="s">
        <v>426</v>
      </c>
      <c r="S70" s="197"/>
      <c r="T70" s="205">
        <v>206</v>
      </c>
      <c r="U70" s="206">
        <f>W70*T70</f>
        <v>282220</v>
      </c>
      <c r="V70" s="207"/>
      <c r="W70" s="208">
        <v>1370</v>
      </c>
      <c r="X70" s="209"/>
      <c r="Y70" s="218">
        <v>-0.0780619111709286</v>
      </c>
      <c r="Z70" s="131" t="s">
        <v>501</v>
      </c>
      <c r="AA70" s="163" t="s">
        <v>474</v>
      </c>
      <c r="AB70" s="160">
        <v>-4</v>
      </c>
      <c r="AC70" s="161">
        <v>0.6</v>
      </c>
      <c r="AD70" s="162">
        <v>6.75</v>
      </c>
      <c r="AE70" s="131"/>
      <c r="AF70" s="163"/>
      <c r="AG70" s="160"/>
      <c r="AH70" s="164"/>
      <c r="AI70" s="162"/>
      <c r="AJ70" s="1" t="s">
        <v>501</v>
      </c>
      <c r="AK70" s="163" t="s">
        <v>474</v>
      </c>
      <c r="AL70" s="160">
        <v>-4</v>
      </c>
      <c r="AM70" s="161">
        <v>0.6</v>
      </c>
      <c r="AN70" s="162">
        <v>6.75</v>
      </c>
      <c r="AO70" s="174"/>
      <c r="AP70" s="168" t="s">
        <v>358</v>
      </c>
      <c r="AQ70" s="169" t="s">
        <v>403</v>
      </c>
      <c r="AR70" s="170">
        <v>3</v>
      </c>
      <c r="AS70" s="128"/>
      <c r="AT70" s="39"/>
      <c r="AU70" s="40"/>
      <c r="AV70" s="120"/>
      <c r="BU70" s="1" t="s">
        <v>139</v>
      </c>
      <c r="BW70" s="1">
        <v>3</v>
      </c>
      <c r="BX70" s="1">
        <v>5</v>
      </c>
      <c r="BY70" s="83">
        <f t="shared" si="5"/>
        <v>0.6</v>
      </c>
      <c r="CA70" s="1">
        <v>5</v>
      </c>
      <c r="CB70" s="1">
        <v>8</v>
      </c>
      <c r="CC70" s="86">
        <f>CA70/CB70</f>
        <v>0.625</v>
      </c>
      <c r="CD70" s="142">
        <f>SUM(HealthServicesAdmin!G27:H29)</f>
        <v>276435.75</v>
      </c>
      <c r="CG70" s="1">
        <v>4</v>
      </c>
      <c r="CH70" s="1">
        <v>4</v>
      </c>
      <c r="CJ70" s="1">
        <v>1</v>
      </c>
      <c r="CK70" s="1">
        <v>4</v>
      </c>
    </row>
    <row r="71" spans="1:81" ht="28.75" thickBot="1">
      <c r="A71" s="175"/>
      <c r="B71" s="38"/>
      <c r="C71" s="84"/>
      <c r="D71" s="100"/>
      <c r="E71" s="98"/>
      <c r="F71" s="84"/>
      <c r="G71" s="93"/>
      <c r="H71" s="141"/>
      <c r="I71" s="84"/>
      <c r="J71" s="92"/>
      <c r="K71" s="84"/>
      <c r="L71" s="100"/>
      <c r="M71" s="84"/>
      <c r="N71" s="98"/>
      <c r="O71" s="84"/>
      <c r="P71" s="117"/>
      <c r="Q71" s="84"/>
      <c r="R71" s="143"/>
      <c r="S71" s="197"/>
      <c r="T71" s="205"/>
      <c r="U71" s="206"/>
      <c r="V71" s="207"/>
      <c r="W71" s="208"/>
      <c r="X71" s="209"/>
      <c r="Y71" s="218"/>
      <c r="Z71" s="131" t="s">
        <v>501</v>
      </c>
      <c r="AA71" s="163" t="s">
        <v>362</v>
      </c>
      <c r="AB71" s="160">
        <v>-1</v>
      </c>
      <c r="AC71" s="161">
        <v>0.9803921568627451</v>
      </c>
      <c r="AD71" s="162">
        <v>53.25</v>
      </c>
      <c r="AE71" s="131" t="s">
        <v>501</v>
      </c>
      <c r="AF71" s="163" t="s">
        <v>362</v>
      </c>
      <c r="AG71" s="160">
        <v>-1</v>
      </c>
      <c r="AH71" s="164">
        <v>0.5</v>
      </c>
      <c r="AI71" s="162">
        <v>1.25</v>
      </c>
      <c r="AJ71" s="1" t="s">
        <v>501</v>
      </c>
      <c r="AK71" s="163" t="s">
        <v>362</v>
      </c>
      <c r="AL71" s="160">
        <v>-2</v>
      </c>
      <c r="AM71" s="161">
        <v>0.9622641509433962</v>
      </c>
      <c r="AN71" s="162">
        <v>54.5</v>
      </c>
      <c r="AO71" s="174"/>
      <c r="AP71" s="39" t="s">
        <v>358</v>
      </c>
      <c r="AQ71" s="40" t="s">
        <v>412</v>
      </c>
      <c r="AR71" s="120">
        <v>19</v>
      </c>
      <c r="AS71" s="128"/>
      <c r="AT71" s="39"/>
      <c r="AU71" s="40"/>
      <c r="AV71" s="120"/>
      <c r="BY71" s="83" t="e">
        <f t="shared" si="5"/>
        <v>#DIV/0!</v>
      </c>
      <c r="CC71" s="86"/>
    </row>
    <row r="72" spans="1:89" ht="28.75" thickBot="1">
      <c r="A72" s="175" t="s">
        <v>203</v>
      </c>
      <c r="B72" s="38">
        <f>HIST!$G$57</f>
        <v>4</v>
      </c>
      <c r="C72" s="84">
        <f>HIST!$G$58</f>
        <v>0.124</v>
      </c>
      <c r="D72" s="100">
        <f>HIST!$G$55</f>
        <v>24.6</v>
      </c>
      <c r="E72" s="98">
        <f>HIST!$G$54</f>
        <v>20</v>
      </c>
      <c r="F72" s="84">
        <f t="shared" si="0"/>
        <v>0.8130081300813008</v>
      </c>
      <c r="G72" s="93">
        <f>HIST!$G$53</f>
        <v>1</v>
      </c>
      <c r="H72" s="141">
        <f>HIST!$G$33</f>
        <v>7.5</v>
      </c>
      <c r="I72" s="84">
        <f t="shared" si="1"/>
        <v>0.625</v>
      </c>
      <c r="J72" s="92">
        <f>HIST!$G$34</f>
        <v>1</v>
      </c>
      <c r="K72" s="84">
        <f t="shared" si="2"/>
        <v>0.08333333333333333</v>
      </c>
      <c r="L72" s="100">
        <f>HIST!$G$35</f>
        <v>3.5</v>
      </c>
      <c r="M72" s="84">
        <f t="shared" si="3"/>
        <v>0.2916666666666667</v>
      </c>
      <c r="N72" s="98">
        <f>HIST!$G$36</f>
        <v>0</v>
      </c>
      <c r="O72" s="84">
        <f t="shared" si="4"/>
        <v>0</v>
      </c>
      <c r="P72" s="117">
        <f>HIST!$G$44</f>
        <v>876.1666666666666</v>
      </c>
      <c r="Q72" s="84">
        <v>1.0277806834030683</v>
      </c>
      <c r="R72" s="143" t="s">
        <v>140</v>
      </c>
      <c r="S72" s="197"/>
      <c r="T72" s="205">
        <v>117</v>
      </c>
      <c r="U72" s="206">
        <f t="shared" si="7"/>
        <v>1243710</v>
      </c>
      <c r="V72" s="207"/>
      <c r="W72" s="208">
        <v>10630</v>
      </c>
      <c r="X72" s="209"/>
      <c r="Y72" s="218">
        <v>-0.217519322782481</v>
      </c>
      <c r="Z72" s="131" t="s">
        <v>203</v>
      </c>
      <c r="AA72" s="163" t="s">
        <v>370</v>
      </c>
      <c r="AB72" s="160">
        <v>-6</v>
      </c>
      <c r="AC72" s="161">
        <v>0.88</v>
      </c>
      <c r="AD72" s="162">
        <v>47</v>
      </c>
      <c r="AE72" s="131" t="s">
        <v>203</v>
      </c>
      <c r="AF72" s="163" t="s">
        <v>370</v>
      </c>
      <c r="AG72" s="160">
        <v>3</v>
      </c>
      <c r="AH72" s="164">
        <v>1.2142857142857142</v>
      </c>
      <c r="AI72" s="162">
        <v>15</v>
      </c>
      <c r="AJ72" s="1" t="s">
        <v>203</v>
      </c>
      <c r="AK72" s="163" t="s">
        <v>370</v>
      </c>
      <c r="AL72" s="160">
        <v>-3</v>
      </c>
      <c r="AM72" s="161">
        <v>0.953125</v>
      </c>
      <c r="AN72" s="162">
        <v>62</v>
      </c>
      <c r="AO72" s="174"/>
      <c r="AP72" s="38" t="s">
        <v>140</v>
      </c>
      <c r="AQ72" s="182" t="s">
        <v>140</v>
      </c>
      <c r="AR72" s="119">
        <v>12</v>
      </c>
      <c r="AS72" s="128"/>
      <c r="AT72" s="165" t="s">
        <v>140</v>
      </c>
      <c r="AU72" s="166" t="s">
        <v>140</v>
      </c>
      <c r="AV72" s="167">
        <v>7</v>
      </c>
      <c r="BU72" s="1" t="s">
        <v>140</v>
      </c>
      <c r="BW72" s="1">
        <v>3</v>
      </c>
      <c r="BX72" s="1">
        <v>6</v>
      </c>
      <c r="BY72" s="83">
        <f t="shared" si="5"/>
        <v>0.5</v>
      </c>
      <c r="CA72" s="1">
        <v>6</v>
      </c>
      <c r="CB72" s="1">
        <v>10</v>
      </c>
      <c r="CC72" s="86">
        <f>CA72/CB72</f>
        <v>0.6</v>
      </c>
      <c r="CD72" s="142">
        <f>SUM(HIST!G27:H29)</f>
        <v>1262488.51</v>
      </c>
      <c r="CG72" s="1">
        <v>4</v>
      </c>
      <c r="CH72" s="1">
        <v>6</v>
      </c>
      <c r="CJ72" s="1">
        <v>2</v>
      </c>
      <c r="CK72" s="1">
        <v>4</v>
      </c>
    </row>
    <row r="73" spans="1:81" ht="28.75" thickBot="1">
      <c r="A73" s="175"/>
      <c r="B73" s="38"/>
      <c r="C73" s="84"/>
      <c r="D73" s="100"/>
      <c r="E73" s="98"/>
      <c r="F73" s="84"/>
      <c r="G73" s="93"/>
      <c r="H73" s="141"/>
      <c r="I73" s="84"/>
      <c r="J73" s="92"/>
      <c r="K73" s="84"/>
      <c r="L73" s="100"/>
      <c r="M73" s="84"/>
      <c r="N73" s="98"/>
      <c r="O73" s="84"/>
      <c r="P73" s="117"/>
      <c r="Q73" s="84"/>
      <c r="R73" s="143"/>
      <c r="S73" s="197"/>
      <c r="T73" s="205"/>
      <c r="U73" s="206"/>
      <c r="V73" s="207"/>
      <c r="W73" s="208"/>
      <c r="X73" s="209"/>
      <c r="Y73" s="218"/>
      <c r="Z73" s="131"/>
      <c r="AA73" s="163"/>
      <c r="AB73" s="160"/>
      <c r="AC73" s="161"/>
      <c r="AD73" s="162"/>
      <c r="AE73" s="131"/>
      <c r="AF73" s="163"/>
      <c r="AG73" s="160"/>
      <c r="AH73" s="164"/>
      <c r="AI73" s="162"/>
      <c r="AK73" s="163"/>
      <c r="AL73" s="160"/>
      <c r="AM73" s="161"/>
      <c r="AN73" s="162"/>
      <c r="AO73" s="174"/>
      <c r="AP73" s="38" t="s">
        <v>140</v>
      </c>
      <c r="AQ73" s="28" t="s">
        <v>475</v>
      </c>
      <c r="AR73" s="119">
        <v>14</v>
      </c>
      <c r="AS73" s="128"/>
      <c r="AT73" s="165"/>
      <c r="AU73" s="166"/>
      <c r="AV73" s="167"/>
      <c r="BY73" s="83" t="e">
        <f aca="true" t="shared" si="12" ref="BY73:BY117">BW73/BX73</f>
        <v>#DIV/0!</v>
      </c>
      <c r="CC73" s="86"/>
    </row>
    <row r="74" spans="1:81" ht="28.75" thickBot="1">
      <c r="A74" s="175"/>
      <c r="B74" s="38"/>
      <c r="C74" s="84"/>
      <c r="D74" s="100"/>
      <c r="E74" s="98"/>
      <c r="F74" s="84"/>
      <c r="G74" s="93"/>
      <c r="H74" s="141"/>
      <c r="I74" s="84"/>
      <c r="J74" s="92"/>
      <c r="K74" s="84"/>
      <c r="L74" s="100"/>
      <c r="M74" s="84"/>
      <c r="N74" s="98"/>
      <c r="O74" s="84"/>
      <c r="P74" s="117"/>
      <c r="Q74" s="84"/>
      <c r="R74" s="143"/>
      <c r="S74" s="197"/>
      <c r="T74" s="205"/>
      <c r="U74" s="206"/>
      <c r="V74" s="207"/>
      <c r="W74" s="208"/>
      <c r="X74" s="209"/>
      <c r="Y74" s="218"/>
      <c r="Z74" s="131" t="s">
        <v>203</v>
      </c>
      <c r="AA74" s="163" t="s">
        <v>419</v>
      </c>
      <c r="AB74" s="160">
        <v>-6</v>
      </c>
      <c r="AC74" s="172">
        <v>0.9047619047619048</v>
      </c>
      <c r="AD74" s="173">
        <v>56</v>
      </c>
      <c r="AE74" s="131"/>
      <c r="AF74" s="163"/>
      <c r="AG74" s="160"/>
      <c r="AH74" s="164"/>
      <c r="AI74" s="162"/>
      <c r="AJ74" s="1" t="s">
        <v>203</v>
      </c>
      <c r="AK74" s="163" t="s">
        <v>419</v>
      </c>
      <c r="AL74" s="160">
        <v>-6</v>
      </c>
      <c r="AM74" s="161">
        <v>0.9047619047619048</v>
      </c>
      <c r="AN74" s="162">
        <v>56</v>
      </c>
      <c r="AO74" s="174"/>
      <c r="AP74" s="38" t="s">
        <v>140</v>
      </c>
      <c r="AQ74" s="183" t="s">
        <v>476</v>
      </c>
      <c r="AR74" s="119">
        <v>12</v>
      </c>
      <c r="AS74" s="128"/>
      <c r="AT74" s="165"/>
      <c r="AU74" s="166"/>
      <c r="AV74" s="167"/>
      <c r="BY74" s="83" t="e">
        <f t="shared" si="12"/>
        <v>#DIV/0!</v>
      </c>
      <c r="CC74" s="86"/>
    </row>
    <row r="75" spans="1:89" ht="28.75" thickBot="1">
      <c r="A75" s="175" t="s">
        <v>148</v>
      </c>
      <c r="B75" s="38">
        <f>InformationSystems!$G$57</f>
        <v>0</v>
      </c>
      <c r="C75" s="84">
        <f>InformationSystems!$G$58</f>
        <v>0.031</v>
      </c>
      <c r="D75" s="100">
        <f>InformationSystems!$G$55</f>
        <v>25.3</v>
      </c>
      <c r="E75" s="98">
        <f>InformationSystems!$G$54</f>
        <v>31</v>
      </c>
      <c r="F75" s="84">
        <f t="shared" si="0"/>
        <v>1.225296442687747</v>
      </c>
      <c r="G75" s="93">
        <f>InformationSystems!$G$53</f>
        <v>11</v>
      </c>
      <c r="H75" s="141">
        <f>InformationSystems!$G$33</f>
        <v>2.9</v>
      </c>
      <c r="I75" s="84">
        <f t="shared" si="1"/>
        <v>0.41428571428571426</v>
      </c>
      <c r="J75" s="92">
        <f>InformationSystems!$G$34</f>
        <v>3.9</v>
      </c>
      <c r="K75" s="84">
        <f t="shared" si="2"/>
        <v>0.5571428571428572</v>
      </c>
      <c r="L75" s="100">
        <f>InformationSystems!$G$35</f>
        <v>0.2</v>
      </c>
      <c r="M75" s="84">
        <f t="shared" si="3"/>
        <v>0.028571428571428574</v>
      </c>
      <c r="N75" s="98">
        <f>InformationSystems!$G$36</f>
        <v>0</v>
      </c>
      <c r="O75" s="84">
        <f t="shared" si="4"/>
        <v>0</v>
      </c>
      <c r="P75" s="117">
        <f>InformationSystems!$G$44</f>
        <v>1239.4285714285713</v>
      </c>
      <c r="Q75" s="84">
        <v>1.1167382720773686</v>
      </c>
      <c r="R75" s="143" t="s">
        <v>330</v>
      </c>
      <c r="S75" s="197"/>
      <c r="T75" s="205">
        <v>136</v>
      </c>
      <c r="U75" s="206">
        <f t="shared" si="7"/>
        <v>1201152</v>
      </c>
      <c r="V75" s="207"/>
      <c r="W75" s="208">
        <v>8832</v>
      </c>
      <c r="X75" s="209"/>
      <c r="Y75" s="217">
        <v>0.0523054926724651</v>
      </c>
      <c r="Z75" s="131" t="s">
        <v>488</v>
      </c>
      <c r="AA75" s="163" t="s">
        <v>298</v>
      </c>
      <c r="AB75" s="160">
        <v>16</v>
      </c>
      <c r="AC75" s="161" t="e">
        <v>#DIV/0!</v>
      </c>
      <c r="AD75" s="162">
        <v>8.5</v>
      </c>
      <c r="AE75" s="131"/>
      <c r="AF75" s="163"/>
      <c r="AG75" s="160"/>
      <c r="AH75" s="164"/>
      <c r="AI75" s="162"/>
      <c r="AJ75" s="131" t="s">
        <v>488</v>
      </c>
      <c r="AK75" s="163" t="s">
        <v>298</v>
      </c>
      <c r="AL75" s="160">
        <v>16</v>
      </c>
      <c r="AM75" s="161" t="e">
        <v>#DIV/0!</v>
      </c>
      <c r="AN75" s="162">
        <v>8.5</v>
      </c>
      <c r="AO75" s="174"/>
      <c r="AP75" s="38" t="s">
        <v>330</v>
      </c>
      <c r="AQ75" s="28" t="s">
        <v>477</v>
      </c>
      <c r="AR75" s="119">
        <v>5</v>
      </c>
      <c r="AS75" s="128"/>
      <c r="AT75" s="165"/>
      <c r="AU75" s="166"/>
      <c r="AV75" s="167"/>
      <c r="BU75" s="1" t="s">
        <v>480</v>
      </c>
      <c r="BW75" s="1">
        <v>1</v>
      </c>
      <c r="BX75" s="1">
        <v>5</v>
      </c>
      <c r="BY75" s="83">
        <f t="shared" si="12"/>
        <v>0.2</v>
      </c>
      <c r="CA75" s="1">
        <v>2</v>
      </c>
      <c r="CB75" s="1">
        <v>8</v>
      </c>
      <c r="CC75" s="86">
        <f>CA75/CB75</f>
        <v>0.25</v>
      </c>
      <c r="CD75" s="142">
        <f>SUM(InformationSystems!G27:H29)</f>
        <v>1221817.99</v>
      </c>
      <c r="CG75" s="1">
        <v>2</v>
      </c>
      <c r="CH75" s="1">
        <v>4</v>
      </c>
      <c r="CJ75" s="1">
        <v>0</v>
      </c>
      <c r="CK75" s="1">
        <v>4</v>
      </c>
    </row>
    <row r="76" spans="1:81" ht="13" thickBot="1">
      <c r="A76" s="175"/>
      <c r="B76" s="38"/>
      <c r="C76" s="84"/>
      <c r="D76" s="100"/>
      <c r="E76" s="98"/>
      <c r="F76" s="84"/>
      <c r="G76" s="93"/>
      <c r="H76" s="141"/>
      <c r="I76" s="84"/>
      <c r="J76" s="92"/>
      <c r="K76" s="84"/>
      <c r="L76" s="100"/>
      <c r="M76" s="84"/>
      <c r="N76" s="98"/>
      <c r="O76" s="84"/>
      <c r="P76" s="117"/>
      <c r="Q76" s="84"/>
      <c r="R76" s="143"/>
      <c r="S76" s="197"/>
      <c r="T76" s="205"/>
      <c r="U76" s="206"/>
      <c r="V76" s="207"/>
      <c r="W76" s="208"/>
      <c r="X76" s="209"/>
      <c r="Y76" s="217"/>
      <c r="Z76" s="131" t="s">
        <v>488</v>
      </c>
      <c r="AA76" s="163" t="s">
        <v>374</v>
      </c>
      <c r="AB76" s="160">
        <v>36</v>
      </c>
      <c r="AC76" s="161" t="e">
        <v>#DIV/0!</v>
      </c>
      <c r="AD76" s="162">
        <v>14.5</v>
      </c>
      <c r="AE76" s="131"/>
      <c r="AF76" s="163"/>
      <c r="AG76" s="160"/>
      <c r="AH76" s="164"/>
      <c r="AI76" s="162"/>
      <c r="AJ76" s="131" t="s">
        <v>488</v>
      </c>
      <c r="AK76" s="163" t="s">
        <v>374</v>
      </c>
      <c r="AL76" s="160">
        <v>36</v>
      </c>
      <c r="AM76" s="161" t="e">
        <v>#DIV/0!</v>
      </c>
      <c r="AN76" s="162">
        <v>14.5</v>
      </c>
      <c r="AP76" s="38" t="s">
        <v>330</v>
      </c>
      <c r="AQ76" s="28" t="s">
        <v>479</v>
      </c>
      <c r="AR76" s="119">
        <v>4</v>
      </c>
      <c r="AT76" s="165"/>
      <c r="AU76" s="166"/>
      <c r="AV76" s="167"/>
      <c r="BY76" s="83" t="e">
        <f t="shared" si="12"/>
        <v>#DIV/0!</v>
      </c>
      <c r="CC76" s="86"/>
    </row>
    <row r="77" spans="1:81" ht="13" thickBot="1">
      <c r="A77" s="175"/>
      <c r="B77" s="38"/>
      <c r="C77" s="84"/>
      <c r="D77" s="100"/>
      <c r="E77" s="98"/>
      <c r="F77" s="84"/>
      <c r="G77" s="93"/>
      <c r="H77" s="141"/>
      <c r="I77" s="84"/>
      <c r="J77" s="92"/>
      <c r="K77" s="84"/>
      <c r="L77" s="100"/>
      <c r="M77" s="84"/>
      <c r="N77" s="98"/>
      <c r="O77" s="84"/>
      <c r="P77" s="117"/>
      <c r="Q77" s="84"/>
      <c r="R77" s="143"/>
      <c r="S77" s="197"/>
      <c r="T77" s="205"/>
      <c r="U77" s="206"/>
      <c r="V77" s="207"/>
      <c r="W77" s="208"/>
      <c r="X77" s="209"/>
      <c r="Y77" s="217"/>
      <c r="Z77" s="131" t="s">
        <v>488</v>
      </c>
      <c r="AA77" s="163" t="s">
        <v>282</v>
      </c>
      <c r="AB77" s="160">
        <v>-12</v>
      </c>
      <c r="AC77" s="172">
        <v>0.8441558441558441</v>
      </c>
      <c r="AD77" s="173">
        <v>67.5</v>
      </c>
      <c r="AE77" s="131"/>
      <c r="AF77" s="163"/>
      <c r="AG77" s="160"/>
      <c r="AH77" s="164"/>
      <c r="AI77" s="162"/>
      <c r="AJ77" s="1" t="s">
        <v>488</v>
      </c>
      <c r="AK77" s="163" t="s">
        <v>282</v>
      </c>
      <c r="AL77" s="160">
        <v>-12</v>
      </c>
      <c r="AM77" s="161">
        <v>0.8441558441558441</v>
      </c>
      <c r="AN77" s="162">
        <v>67.5</v>
      </c>
      <c r="AP77" s="38" t="s">
        <v>330</v>
      </c>
      <c r="AQ77" s="28" t="s">
        <v>480</v>
      </c>
      <c r="AR77" s="119">
        <v>36</v>
      </c>
      <c r="AT77" s="165"/>
      <c r="AU77" s="166"/>
      <c r="AV77" s="167"/>
      <c r="BY77" s="83" t="e">
        <f t="shared" si="12"/>
        <v>#DIV/0!</v>
      </c>
      <c r="CC77" s="86"/>
    </row>
    <row r="78" spans="1:89" ht="13" thickBot="1">
      <c r="A78" s="175" t="s">
        <v>205</v>
      </c>
      <c r="B78" s="38">
        <f>Management!$G$57</f>
        <v>0</v>
      </c>
      <c r="C78" s="84">
        <f>Management!$G$58</f>
        <v>0</v>
      </c>
      <c r="D78" s="100">
        <f>Management!$G$55</f>
        <v>24.6</v>
      </c>
      <c r="E78" s="98">
        <f>Management!$G$54</f>
        <v>32</v>
      </c>
      <c r="F78" s="84">
        <f>E78/D78</f>
        <v>1.3008130081300813</v>
      </c>
      <c r="G78" s="93">
        <f>Management!$G$53</f>
        <v>4</v>
      </c>
      <c r="H78" s="141">
        <f>Management!$G$33</f>
        <v>5.9</v>
      </c>
      <c r="I78" s="84">
        <f>(H78/(H78+J78+L78+N78))</f>
        <v>0.6020408163265306</v>
      </c>
      <c r="J78" s="92">
        <f>Management!$G$34</f>
        <v>2</v>
      </c>
      <c r="K78" s="84">
        <f>(J78/(H78+J78+L78+N78))</f>
        <v>0.2040816326530612</v>
      </c>
      <c r="L78" s="100">
        <f>Management!$G$35</f>
        <v>1.9</v>
      </c>
      <c r="M78" s="84">
        <f>(L78/(H78+J78+L78+N78))</f>
        <v>0.19387755102040813</v>
      </c>
      <c r="N78" s="98">
        <f>Management!$G$36</f>
        <v>0</v>
      </c>
      <c r="O78" s="84">
        <f>(N78/(H78+J78+L78+N78))</f>
        <v>0</v>
      </c>
      <c r="P78" s="117">
        <f>Management!$G$44</f>
        <v>991.0204081632652</v>
      </c>
      <c r="Q78" s="84">
        <v>1.051695127030404</v>
      </c>
      <c r="R78" s="143" t="s">
        <v>205</v>
      </c>
      <c r="S78" s="197"/>
      <c r="T78" s="205">
        <v>137</v>
      </c>
      <c r="U78" s="206">
        <f t="shared" si="7"/>
        <v>1496451</v>
      </c>
      <c r="V78" s="207"/>
      <c r="W78" s="208">
        <v>10923</v>
      </c>
      <c r="X78" s="209"/>
      <c r="Y78" s="218">
        <v>-0.034558953508927</v>
      </c>
      <c r="Z78" s="131" t="s">
        <v>485</v>
      </c>
      <c r="AA78" s="163" t="s">
        <v>275</v>
      </c>
      <c r="AB78" s="160">
        <v>0</v>
      </c>
      <c r="AC78" s="161" t="e">
        <v>#DIV/0!</v>
      </c>
      <c r="AD78" s="162">
        <v>2.5</v>
      </c>
      <c r="AE78" s="131"/>
      <c r="AF78" s="163"/>
      <c r="AG78" s="160"/>
      <c r="AH78" s="164"/>
      <c r="AI78" s="162"/>
      <c r="AJ78" s="131" t="s">
        <v>485</v>
      </c>
      <c r="AK78" s="163" t="s">
        <v>275</v>
      </c>
      <c r="AL78" s="160">
        <v>0</v>
      </c>
      <c r="AM78" s="161" t="e">
        <v>#DIV/0!</v>
      </c>
      <c r="AN78" s="162">
        <v>2.5</v>
      </c>
      <c r="AP78" s="168" t="s">
        <v>205</v>
      </c>
      <c r="AQ78" s="1" t="s">
        <v>275</v>
      </c>
      <c r="AR78" s="186">
        <v>0</v>
      </c>
      <c r="AT78" s="165"/>
      <c r="AU78" s="166"/>
      <c r="AV78" s="167"/>
      <c r="BU78" s="1" t="s">
        <v>205</v>
      </c>
      <c r="BW78" s="1">
        <v>1</v>
      </c>
      <c r="BX78" s="1">
        <v>5</v>
      </c>
      <c r="BY78" s="83">
        <f t="shared" si="12"/>
        <v>0.2</v>
      </c>
      <c r="CA78" s="1">
        <v>2</v>
      </c>
      <c r="CB78" s="1">
        <v>8</v>
      </c>
      <c r="CC78" s="86">
        <f>CA78/CB78</f>
        <v>0.25</v>
      </c>
      <c r="CD78" s="142">
        <f>SUM(Management!G27:H29)</f>
        <v>1498421.56</v>
      </c>
      <c r="CG78" s="1">
        <v>2</v>
      </c>
      <c r="CH78" s="1">
        <v>4</v>
      </c>
      <c r="CJ78" s="1">
        <v>0</v>
      </c>
      <c r="CK78" s="1">
        <v>4</v>
      </c>
    </row>
    <row r="79" spans="1:81" ht="13" thickBot="1">
      <c r="A79" s="175"/>
      <c r="B79" s="38"/>
      <c r="C79" s="84"/>
      <c r="D79" s="100"/>
      <c r="E79" s="98"/>
      <c r="F79" s="84"/>
      <c r="G79" s="93"/>
      <c r="H79" s="141"/>
      <c r="I79" s="84"/>
      <c r="J79" s="92"/>
      <c r="K79" s="84"/>
      <c r="L79" s="100"/>
      <c r="M79" s="84"/>
      <c r="N79" s="98"/>
      <c r="O79" s="84"/>
      <c r="P79" s="117"/>
      <c r="Q79" s="84"/>
      <c r="R79" s="143"/>
      <c r="S79" s="197"/>
      <c r="T79" s="205"/>
      <c r="U79" s="206"/>
      <c r="V79" s="207"/>
      <c r="W79" s="208"/>
      <c r="X79" s="209"/>
      <c r="Y79" s="218"/>
      <c r="Z79" s="131" t="s">
        <v>485</v>
      </c>
      <c r="AA79" s="163" t="s">
        <v>409</v>
      </c>
      <c r="AB79" s="160">
        <v>-1</v>
      </c>
      <c r="AC79" s="161">
        <v>0</v>
      </c>
      <c r="AD79" s="162">
        <v>0.25</v>
      </c>
      <c r="AE79" s="131"/>
      <c r="AF79" s="163"/>
      <c r="AG79" s="160"/>
      <c r="AH79" s="164"/>
      <c r="AI79" s="162"/>
      <c r="AJ79" s="131" t="s">
        <v>485</v>
      </c>
      <c r="AK79" s="163" t="s">
        <v>409</v>
      </c>
      <c r="AL79" s="160">
        <v>-1</v>
      </c>
      <c r="AM79" s="161">
        <v>0</v>
      </c>
      <c r="AN79" s="162">
        <v>0.25</v>
      </c>
      <c r="AP79" s="168" t="s">
        <v>205</v>
      </c>
      <c r="AQ79" s="1" t="s">
        <v>409</v>
      </c>
      <c r="AR79" s="186">
        <v>0</v>
      </c>
      <c r="AT79" s="165"/>
      <c r="AU79" s="166"/>
      <c r="AV79" s="167"/>
      <c r="BY79" s="83" t="e">
        <f t="shared" si="12"/>
        <v>#DIV/0!</v>
      </c>
      <c r="CC79" s="86"/>
    </row>
    <row r="80" spans="1:81" ht="13" thickBot="1">
      <c r="A80" s="175"/>
      <c r="B80" s="38"/>
      <c r="C80" s="84"/>
      <c r="D80" s="100"/>
      <c r="E80" s="98"/>
      <c r="F80" s="84"/>
      <c r="G80" s="93"/>
      <c r="H80" s="141"/>
      <c r="I80" s="84"/>
      <c r="J80" s="92"/>
      <c r="K80" s="84"/>
      <c r="L80" s="100"/>
      <c r="M80" s="84"/>
      <c r="N80" s="98"/>
      <c r="O80" s="84"/>
      <c r="P80" s="117"/>
      <c r="Q80" s="84"/>
      <c r="R80" s="143"/>
      <c r="S80" s="197"/>
      <c r="T80" s="205"/>
      <c r="U80" s="206"/>
      <c r="V80" s="207"/>
      <c r="W80" s="208"/>
      <c r="X80" s="209"/>
      <c r="Y80" s="218"/>
      <c r="Z80" s="131" t="s">
        <v>485</v>
      </c>
      <c r="AA80" s="163" t="s">
        <v>436</v>
      </c>
      <c r="AB80" s="160">
        <v>34</v>
      </c>
      <c r="AC80" s="161">
        <v>35</v>
      </c>
      <c r="AD80" s="162">
        <v>20</v>
      </c>
      <c r="AE80" s="131"/>
      <c r="AF80" s="163"/>
      <c r="AG80" s="160"/>
      <c r="AH80" s="164"/>
      <c r="AI80" s="162"/>
      <c r="AJ80" s="1" t="s">
        <v>485</v>
      </c>
      <c r="AK80" s="163" t="s">
        <v>436</v>
      </c>
      <c r="AL80" s="160">
        <v>34</v>
      </c>
      <c r="AM80" s="161">
        <v>35</v>
      </c>
      <c r="AN80" s="162">
        <v>20</v>
      </c>
      <c r="AP80" s="168" t="s">
        <v>205</v>
      </c>
      <c r="AQ80" s="169" t="s">
        <v>259</v>
      </c>
      <c r="AR80" s="170">
        <v>5</v>
      </c>
      <c r="AT80" s="165"/>
      <c r="AU80" s="166"/>
      <c r="AV80" s="167"/>
      <c r="BY80" s="83" t="e">
        <f t="shared" si="12"/>
        <v>#DIV/0!</v>
      </c>
      <c r="CC80" s="86"/>
    </row>
    <row r="81" spans="1:81" ht="13" thickBot="1">
      <c r="A81" s="175"/>
      <c r="B81" s="38"/>
      <c r="C81" s="84"/>
      <c r="D81" s="100"/>
      <c r="E81" s="98"/>
      <c r="F81" s="84"/>
      <c r="G81" s="93"/>
      <c r="H81" s="141"/>
      <c r="I81" s="84"/>
      <c r="J81" s="92"/>
      <c r="K81" s="84"/>
      <c r="L81" s="100"/>
      <c r="M81" s="84"/>
      <c r="N81" s="98"/>
      <c r="O81" s="84"/>
      <c r="P81" s="117"/>
      <c r="Q81" s="84"/>
      <c r="R81" s="143"/>
      <c r="S81" s="197"/>
      <c r="T81" s="205"/>
      <c r="U81" s="206"/>
      <c r="V81" s="207"/>
      <c r="W81" s="208"/>
      <c r="X81" s="209"/>
      <c r="Y81" s="218"/>
      <c r="Z81" s="131" t="s">
        <v>485</v>
      </c>
      <c r="AA81" s="163" t="s">
        <v>478</v>
      </c>
      <c r="AB81" s="160">
        <v>13</v>
      </c>
      <c r="AC81" s="161" t="e">
        <v>#DIV/0!</v>
      </c>
      <c r="AD81" s="162">
        <v>4</v>
      </c>
      <c r="AE81" s="131"/>
      <c r="AF81" s="163"/>
      <c r="AG81" s="160"/>
      <c r="AH81" s="164"/>
      <c r="AI81" s="162"/>
      <c r="AJ81" s="1" t="s">
        <v>485</v>
      </c>
      <c r="AK81" s="163" t="s">
        <v>478</v>
      </c>
      <c r="AL81" s="160">
        <v>13</v>
      </c>
      <c r="AM81" s="161" t="e">
        <v>#DIV/0!</v>
      </c>
      <c r="AN81" s="162">
        <v>4</v>
      </c>
      <c r="AP81" s="38" t="s">
        <v>205</v>
      </c>
      <c r="AQ81" s="23" t="s">
        <v>264</v>
      </c>
      <c r="AR81" s="119">
        <v>0</v>
      </c>
      <c r="AT81" s="165"/>
      <c r="AU81" s="166"/>
      <c r="AV81" s="167"/>
      <c r="BY81" s="83" t="e">
        <f t="shared" si="12"/>
        <v>#DIV/0!</v>
      </c>
      <c r="CC81" s="86"/>
    </row>
    <row r="82" spans="1:81" ht="13" thickBot="1">
      <c r="A82" s="175"/>
      <c r="B82" s="38"/>
      <c r="C82" s="84"/>
      <c r="D82" s="100"/>
      <c r="E82" s="98"/>
      <c r="F82" s="84"/>
      <c r="G82" s="93"/>
      <c r="H82" s="141"/>
      <c r="I82" s="84"/>
      <c r="J82" s="92"/>
      <c r="K82" s="84"/>
      <c r="L82" s="100"/>
      <c r="M82" s="84"/>
      <c r="N82" s="98"/>
      <c r="O82" s="84"/>
      <c r="P82" s="117"/>
      <c r="Q82" s="84"/>
      <c r="R82" s="143"/>
      <c r="S82" s="197"/>
      <c r="T82" s="205"/>
      <c r="U82" s="206"/>
      <c r="V82" s="207"/>
      <c r="W82" s="208"/>
      <c r="X82" s="209"/>
      <c r="Y82" s="218"/>
      <c r="Z82" s="131" t="s">
        <v>485</v>
      </c>
      <c r="AA82" s="163" t="s">
        <v>261</v>
      </c>
      <c r="AB82" s="160">
        <v>-1</v>
      </c>
      <c r="AC82" s="172">
        <v>0.96</v>
      </c>
      <c r="AD82" s="173">
        <v>23.25</v>
      </c>
      <c r="AE82" s="131"/>
      <c r="AF82" s="163"/>
      <c r="AG82" s="160"/>
      <c r="AH82" s="164"/>
      <c r="AI82" s="162"/>
      <c r="AJ82" s="1" t="s">
        <v>485</v>
      </c>
      <c r="AK82" s="163" t="s">
        <v>261</v>
      </c>
      <c r="AL82" s="160">
        <v>-1</v>
      </c>
      <c r="AM82" s="161">
        <v>0.96</v>
      </c>
      <c r="AN82" s="162">
        <v>23.25</v>
      </c>
      <c r="AP82" s="38" t="s">
        <v>205</v>
      </c>
      <c r="AQ82" s="23" t="s">
        <v>270</v>
      </c>
      <c r="AR82" s="119">
        <v>8</v>
      </c>
      <c r="AT82" s="165"/>
      <c r="AU82" s="166"/>
      <c r="AV82" s="167"/>
      <c r="BY82" s="83" t="e">
        <f t="shared" si="12"/>
        <v>#DIV/0!</v>
      </c>
      <c r="CC82" s="86"/>
    </row>
    <row r="83" spans="1:81" ht="13" thickBot="1">
      <c r="A83" s="175"/>
      <c r="B83" s="38"/>
      <c r="C83" s="84"/>
      <c r="D83" s="100"/>
      <c r="E83" s="98"/>
      <c r="F83" s="84"/>
      <c r="G83" s="93"/>
      <c r="H83" s="141"/>
      <c r="I83" s="84"/>
      <c r="J83" s="92"/>
      <c r="K83" s="84"/>
      <c r="L83" s="100"/>
      <c r="M83" s="84"/>
      <c r="N83" s="98"/>
      <c r="O83" s="84"/>
      <c r="P83" s="117"/>
      <c r="Q83" s="84"/>
      <c r="R83" s="143"/>
      <c r="S83" s="197"/>
      <c r="T83" s="205"/>
      <c r="U83" s="206"/>
      <c r="V83" s="207"/>
      <c r="W83" s="208"/>
      <c r="X83" s="209"/>
      <c r="Y83" s="218"/>
      <c r="Z83" s="131" t="s">
        <v>485</v>
      </c>
      <c r="AA83" s="163" t="s">
        <v>288</v>
      </c>
      <c r="AB83" s="160">
        <v>-38</v>
      </c>
      <c r="AC83" s="172">
        <v>0.8830769230769231</v>
      </c>
      <c r="AD83" s="173">
        <v>314.5</v>
      </c>
      <c r="AE83" s="131"/>
      <c r="AF83" s="163"/>
      <c r="AG83" s="160"/>
      <c r="AH83" s="164"/>
      <c r="AI83" s="162"/>
      <c r="AJ83" s="1" t="s">
        <v>485</v>
      </c>
      <c r="AK83" s="163" t="s">
        <v>288</v>
      </c>
      <c r="AL83" s="160">
        <v>-38</v>
      </c>
      <c r="AM83" s="161">
        <v>0.8830769230769231</v>
      </c>
      <c r="AN83" s="162">
        <v>314.5</v>
      </c>
      <c r="AP83" s="38" t="s">
        <v>205</v>
      </c>
      <c r="AQ83" s="23" t="s">
        <v>205</v>
      </c>
      <c r="AR83" s="119">
        <v>171.66666666666666</v>
      </c>
      <c r="AT83" s="165"/>
      <c r="AU83" s="166"/>
      <c r="AV83" s="167"/>
      <c r="BY83" s="83" t="e">
        <f t="shared" si="12"/>
        <v>#DIV/0!</v>
      </c>
      <c r="CC83" s="86"/>
    </row>
    <row r="84" spans="1:81" ht="13" thickBot="1">
      <c r="A84" s="175"/>
      <c r="B84" s="38"/>
      <c r="C84" s="84"/>
      <c r="D84" s="100"/>
      <c r="E84" s="98"/>
      <c r="F84" s="84"/>
      <c r="G84" s="93"/>
      <c r="H84" s="141"/>
      <c r="I84" s="84"/>
      <c r="J84" s="92"/>
      <c r="K84" s="84"/>
      <c r="L84" s="100"/>
      <c r="M84" s="84"/>
      <c r="N84" s="98"/>
      <c r="O84" s="84"/>
      <c r="P84" s="117"/>
      <c r="Q84" s="84"/>
      <c r="R84" s="143"/>
      <c r="S84" s="197"/>
      <c r="T84" s="205"/>
      <c r="U84" s="206"/>
      <c r="V84" s="207"/>
      <c r="W84" s="208"/>
      <c r="X84" s="209"/>
      <c r="Y84" s="218"/>
      <c r="Z84" s="131"/>
      <c r="AA84" s="163"/>
      <c r="AB84" s="160"/>
      <c r="AC84" s="172"/>
      <c r="AD84" s="173"/>
      <c r="AE84" s="131"/>
      <c r="AF84" s="163"/>
      <c r="AG84" s="160"/>
      <c r="AH84" s="164"/>
      <c r="AI84" s="162"/>
      <c r="AK84" s="163"/>
      <c r="AL84" s="160"/>
      <c r="AM84" s="161"/>
      <c r="AN84" s="162"/>
      <c r="AP84" s="39" t="s">
        <v>205</v>
      </c>
      <c r="AQ84" s="40" t="s">
        <v>279</v>
      </c>
      <c r="AR84" s="120">
        <v>0</v>
      </c>
      <c r="AT84" s="165"/>
      <c r="AU84" s="166"/>
      <c r="AV84" s="167"/>
      <c r="BY84" s="83" t="e">
        <f t="shared" si="12"/>
        <v>#DIV/0!</v>
      </c>
      <c r="CC84" s="86"/>
    </row>
    <row r="85" spans="1:89" ht="13" thickBot="1">
      <c r="A85" s="175" t="s">
        <v>152</v>
      </c>
      <c r="B85" s="38">
        <f>Math!$G$57</f>
        <v>2</v>
      </c>
      <c r="C85" s="84">
        <f>Math!$G$58</f>
        <v>0.061</v>
      </c>
      <c r="D85" s="100">
        <f>Math!$G$55</f>
        <v>23.7</v>
      </c>
      <c r="E85" s="98">
        <f>Math!$G$54</f>
        <v>36</v>
      </c>
      <c r="F85" s="84">
        <f t="shared" si="0"/>
        <v>1.518987341772152</v>
      </c>
      <c r="G85" s="93">
        <f>Math!$G$53</f>
        <v>17</v>
      </c>
      <c r="H85" s="141">
        <f>Math!$G$33</f>
        <v>13.1</v>
      </c>
      <c r="I85" s="84">
        <f t="shared" si="1"/>
        <v>0.3928035982008995</v>
      </c>
      <c r="J85" s="92">
        <f>Math!$G$34</f>
        <v>18.5</v>
      </c>
      <c r="K85" s="84">
        <f t="shared" si="2"/>
        <v>0.5547226386806596</v>
      </c>
      <c r="L85" s="100">
        <f>Math!$G$35</f>
        <v>1.75</v>
      </c>
      <c r="M85" s="84">
        <f t="shared" si="3"/>
        <v>0.05247376311844078</v>
      </c>
      <c r="N85" s="98">
        <f>Math!$G$36</f>
        <v>0</v>
      </c>
      <c r="O85" s="84">
        <f t="shared" si="4"/>
        <v>0</v>
      </c>
      <c r="P85" s="117">
        <f>Math!$G$44</f>
        <v>1145.2173913043478</v>
      </c>
      <c r="Q85" s="84">
        <v>0.9373451616995986</v>
      </c>
      <c r="R85" s="143" t="s">
        <v>285</v>
      </c>
      <c r="S85" s="197"/>
      <c r="T85" s="205">
        <v>72</v>
      </c>
      <c r="U85" s="206">
        <f t="shared" si="7"/>
        <v>2768112</v>
      </c>
      <c r="V85" s="207"/>
      <c r="W85" s="208">
        <v>38446</v>
      </c>
      <c r="X85" s="209"/>
      <c r="Y85" s="218">
        <v>-0.0204591199775791</v>
      </c>
      <c r="Z85" s="131" t="s">
        <v>505</v>
      </c>
      <c r="AA85" s="163" t="s">
        <v>306</v>
      </c>
      <c r="AB85" s="160">
        <v>32</v>
      </c>
      <c r="AC85" s="172">
        <v>1.3516483516483517</v>
      </c>
      <c r="AD85" s="173">
        <v>104</v>
      </c>
      <c r="AE85" s="131" t="s">
        <v>505</v>
      </c>
      <c r="AF85" s="163" t="s">
        <v>306</v>
      </c>
      <c r="AG85" s="160">
        <v>1</v>
      </c>
      <c r="AH85" s="164" t="e">
        <v>#DIV/0!</v>
      </c>
      <c r="AI85" s="162">
        <v>0.25</v>
      </c>
      <c r="AJ85" s="1" t="s">
        <v>505</v>
      </c>
      <c r="AK85" s="163" t="s">
        <v>306</v>
      </c>
      <c r="AL85" s="160">
        <v>33</v>
      </c>
      <c r="AM85" s="161">
        <v>1.3626373626373627</v>
      </c>
      <c r="AN85" s="162">
        <v>104.25</v>
      </c>
      <c r="AP85" s="168" t="s">
        <v>285</v>
      </c>
      <c r="AQ85" s="169" t="s">
        <v>286</v>
      </c>
      <c r="AR85" s="170">
        <v>3.3333333333333335</v>
      </c>
      <c r="AT85" s="165"/>
      <c r="AU85" s="166"/>
      <c r="AV85" s="167"/>
      <c r="BU85" s="1" t="s">
        <v>152</v>
      </c>
      <c r="BW85" s="1">
        <v>0</v>
      </c>
      <c r="BX85" s="1">
        <v>5</v>
      </c>
      <c r="BY85" s="83">
        <f t="shared" si="12"/>
        <v>0</v>
      </c>
      <c r="CA85" s="1">
        <v>3</v>
      </c>
      <c r="CB85" s="1">
        <v>8</v>
      </c>
      <c r="CC85" s="86">
        <f>CA85/CB85</f>
        <v>0.375</v>
      </c>
      <c r="CD85" s="142">
        <f>SUM(Math!G27:H29)</f>
        <v>3351697.53</v>
      </c>
      <c r="CG85" s="1">
        <v>1</v>
      </c>
      <c r="CH85" s="1">
        <v>4</v>
      </c>
      <c r="CJ85" s="1">
        <v>2</v>
      </c>
      <c r="CK85" s="1">
        <v>4</v>
      </c>
    </row>
    <row r="86" spans="1:81" ht="13" thickBot="1">
      <c r="A86" s="175"/>
      <c r="B86" s="38"/>
      <c r="C86" s="84"/>
      <c r="D86" s="100"/>
      <c r="E86" s="98"/>
      <c r="F86" s="84"/>
      <c r="G86" s="93"/>
      <c r="H86" s="141"/>
      <c r="I86" s="84"/>
      <c r="J86" s="92"/>
      <c r="K86" s="84"/>
      <c r="L86" s="100"/>
      <c r="M86" s="84"/>
      <c r="N86" s="98"/>
      <c r="O86" s="84"/>
      <c r="P86" s="117"/>
      <c r="Q86" s="84"/>
      <c r="R86" s="143"/>
      <c r="S86" s="197"/>
      <c r="T86" s="205"/>
      <c r="U86" s="206"/>
      <c r="V86" s="207"/>
      <c r="W86" s="208"/>
      <c r="X86" s="209"/>
      <c r="Y86" s="218"/>
      <c r="Z86" s="131"/>
      <c r="AA86" s="163"/>
      <c r="AB86" s="160"/>
      <c r="AC86" s="172"/>
      <c r="AD86" s="173"/>
      <c r="AE86" s="131"/>
      <c r="AF86" s="163"/>
      <c r="AG86" s="160"/>
      <c r="AH86" s="164"/>
      <c r="AI86" s="162"/>
      <c r="AK86" s="163"/>
      <c r="AL86" s="160"/>
      <c r="AM86" s="161"/>
      <c r="AN86" s="162"/>
      <c r="AP86" s="38" t="s">
        <v>285</v>
      </c>
      <c r="AQ86" s="23" t="s">
        <v>285</v>
      </c>
      <c r="AR86" s="119">
        <v>8.666666666666666</v>
      </c>
      <c r="AT86" s="165"/>
      <c r="AU86" s="166"/>
      <c r="AV86" s="167"/>
      <c r="BY86" s="83" t="e">
        <f t="shared" si="12"/>
        <v>#DIV/0!</v>
      </c>
      <c r="CC86" s="86"/>
    </row>
    <row r="87" spans="1:81" ht="13" thickBot="1">
      <c r="A87" s="175"/>
      <c r="B87" s="38"/>
      <c r="C87" s="84"/>
      <c r="D87" s="100"/>
      <c r="E87" s="98"/>
      <c r="F87" s="84"/>
      <c r="G87" s="93"/>
      <c r="H87" s="141"/>
      <c r="I87" s="84"/>
      <c r="J87" s="92"/>
      <c r="K87" s="84"/>
      <c r="L87" s="100"/>
      <c r="M87" s="84"/>
      <c r="N87" s="98"/>
      <c r="O87" s="84"/>
      <c r="P87" s="117"/>
      <c r="Q87" s="84"/>
      <c r="R87" s="143"/>
      <c r="S87" s="197"/>
      <c r="T87" s="205"/>
      <c r="U87" s="206"/>
      <c r="V87" s="207"/>
      <c r="W87" s="208"/>
      <c r="X87" s="209"/>
      <c r="Y87" s="218"/>
      <c r="Z87" s="131"/>
      <c r="AA87" s="163"/>
      <c r="AB87" s="160"/>
      <c r="AC87" s="172"/>
      <c r="AD87" s="173"/>
      <c r="AE87" s="131"/>
      <c r="AF87" s="163"/>
      <c r="AG87" s="160"/>
      <c r="AH87" s="164"/>
      <c r="AI87" s="162"/>
      <c r="AK87" s="163"/>
      <c r="AL87" s="160"/>
      <c r="AM87" s="161"/>
      <c r="AN87" s="162"/>
      <c r="AP87" s="39" t="s">
        <v>285</v>
      </c>
      <c r="AQ87" s="40" t="s">
        <v>294</v>
      </c>
      <c r="AR87" s="120">
        <v>11</v>
      </c>
      <c r="AT87" s="165"/>
      <c r="AU87" s="166"/>
      <c r="AV87" s="167"/>
      <c r="BY87" s="83" t="e">
        <f t="shared" si="12"/>
        <v>#DIV/0!</v>
      </c>
      <c r="CC87" s="86"/>
    </row>
    <row r="88" spans="1:89" ht="13" thickBot="1">
      <c r="A88" s="175" t="s">
        <v>207</v>
      </c>
      <c r="B88" s="38">
        <f>MLLOnly!$G$57</f>
        <v>0</v>
      </c>
      <c r="C88" s="84">
        <f>MLLOnly!$G$58</f>
        <v>0.181</v>
      </c>
      <c r="D88" s="100">
        <f>MLLOnly!$G$55</f>
        <v>15.6</v>
      </c>
      <c r="E88" s="98">
        <f>MLLOnly!$G$54</f>
        <v>15</v>
      </c>
      <c r="F88" s="84">
        <f>E88/D88</f>
        <v>0.9615384615384616</v>
      </c>
      <c r="G88" s="93">
        <f>MLLOnly!$G$53</f>
        <v>7</v>
      </c>
      <c r="H88" s="141">
        <f>MLLOnly!$G$33</f>
        <v>4.7</v>
      </c>
      <c r="I88" s="84">
        <f>(H88/(H88+J88+L88+N88))</f>
        <v>0.3042071197411004</v>
      </c>
      <c r="J88" s="92">
        <f>MLLOnly!$G$34</f>
        <v>5</v>
      </c>
      <c r="K88" s="84">
        <f>(J88/(H88+J88+L88+N88))</f>
        <v>0.3236245954692557</v>
      </c>
      <c r="L88" s="100">
        <f>MLLOnly!$G$35</f>
        <v>5.75</v>
      </c>
      <c r="M88" s="84">
        <f>(L88/(H88+J88+L88+N88))</f>
        <v>0.37216828478964403</v>
      </c>
      <c r="N88" s="98">
        <f>MLLOnly!$G$36</f>
        <v>0</v>
      </c>
      <c r="O88" s="84">
        <f>(N88/(H88+J88+L88+N88))</f>
        <v>0</v>
      </c>
      <c r="P88" s="117">
        <f>MLLOnly!$G$44</f>
        <v>565.5016181229773</v>
      </c>
      <c r="Q88" s="84">
        <v>0.9236172326888535</v>
      </c>
      <c r="R88" s="143" t="s">
        <v>302</v>
      </c>
      <c r="S88" s="197"/>
      <c r="T88" s="205">
        <f>MLLOnly!G31</f>
        <v>127.30722444775094</v>
      </c>
      <c r="U88" s="206">
        <f aca="true" t="shared" si="13" ref="U88">W88*T88</f>
        <v>1112283.22</v>
      </c>
      <c r="V88" s="207"/>
      <c r="W88" s="208">
        <v>8737</v>
      </c>
      <c r="X88" s="209"/>
      <c r="Y88" s="218">
        <v>-0.047</v>
      </c>
      <c r="Z88" s="131" t="s">
        <v>500</v>
      </c>
      <c r="AA88" s="163" t="s">
        <v>344</v>
      </c>
      <c r="AB88" s="160">
        <v>-10</v>
      </c>
      <c r="AC88" s="161">
        <v>0.3333333333333333</v>
      </c>
      <c r="AD88" s="162">
        <v>9.5</v>
      </c>
      <c r="AE88" s="131" t="s">
        <v>500</v>
      </c>
      <c r="AF88" s="163" t="s">
        <v>344</v>
      </c>
      <c r="AG88" s="160">
        <v>0</v>
      </c>
      <c r="AH88" s="164" t="e">
        <v>#DIV/0!</v>
      </c>
      <c r="AI88" s="162">
        <v>0</v>
      </c>
      <c r="AJ88" s="1" t="s">
        <v>500</v>
      </c>
      <c r="AK88" s="163" t="s">
        <v>344</v>
      </c>
      <c r="AL88" s="160">
        <v>-10</v>
      </c>
      <c r="AM88" s="161">
        <v>0.3333333333333333</v>
      </c>
      <c r="AN88" s="162">
        <v>9.5</v>
      </c>
      <c r="AP88" s="38" t="s">
        <v>302</v>
      </c>
      <c r="AQ88" s="23" t="s">
        <v>308</v>
      </c>
      <c r="AR88" s="119">
        <v>1</v>
      </c>
      <c r="AT88" s="165"/>
      <c r="AU88" s="166"/>
      <c r="AV88" s="167"/>
      <c r="BU88" s="1" t="s">
        <v>560</v>
      </c>
      <c r="BW88" s="1">
        <v>3</v>
      </c>
      <c r="BX88" s="1">
        <v>5</v>
      </c>
      <c r="BY88" s="83">
        <f t="shared" si="12"/>
        <v>0.6</v>
      </c>
      <c r="CA88" s="1">
        <v>5</v>
      </c>
      <c r="CB88" s="1">
        <v>8</v>
      </c>
      <c r="CC88" s="86">
        <f>CA88/CB88</f>
        <v>0.625</v>
      </c>
      <c r="CD88" s="142">
        <f>SUM(MLLOnly!G27:H29)</f>
        <v>1112283.22</v>
      </c>
      <c r="CG88" s="1">
        <v>2</v>
      </c>
      <c r="CH88" s="1">
        <v>4</v>
      </c>
      <c r="CJ88" s="1">
        <v>3</v>
      </c>
      <c r="CK88" s="1">
        <v>4</v>
      </c>
    </row>
    <row r="89" spans="20:81" ht="13" thickBot="1">
      <c r="T89" s="213"/>
      <c r="U89" s="175"/>
      <c r="V89" s="175"/>
      <c r="W89" s="175"/>
      <c r="X89" s="175"/>
      <c r="Y89" s="175"/>
      <c r="Z89" s="131"/>
      <c r="AA89" s="163"/>
      <c r="AB89" s="160"/>
      <c r="AC89" s="161"/>
      <c r="AD89" s="162"/>
      <c r="AE89" s="131"/>
      <c r="AF89" s="176"/>
      <c r="AG89" s="139"/>
      <c r="AH89" s="177"/>
      <c r="AI89" s="178"/>
      <c r="AK89" s="163"/>
      <c r="AL89" s="160"/>
      <c r="AM89" s="161"/>
      <c r="AN89" s="162"/>
      <c r="AP89" s="38" t="s">
        <v>302</v>
      </c>
      <c r="AQ89" s="23" t="s">
        <v>313</v>
      </c>
      <c r="AR89" s="119">
        <v>2</v>
      </c>
      <c r="AT89" s="165" t="s">
        <v>302</v>
      </c>
      <c r="AU89" s="166" t="s">
        <v>313</v>
      </c>
      <c r="AV89" s="167">
        <v>1</v>
      </c>
      <c r="BY89" s="83" t="e">
        <f t="shared" si="12"/>
        <v>#DIV/0!</v>
      </c>
      <c r="CC89" s="86"/>
    </row>
    <row r="90" spans="1:81" ht="13" thickBot="1">
      <c r="A90" s="175"/>
      <c r="R90" s="143"/>
      <c r="S90" s="197"/>
      <c r="T90" s="205"/>
      <c r="U90" s="206"/>
      <c r="V90" s="207"/>
      <c r="W90" s="208"/>
      <c r="X90" s="209"/>
      <c r="Y90" s="218"/>
      <c r="Z90" s="131"/>
      <c r="AA90" s="163"/>
      <c r="AB90" s="160"/>
      <c r="AC90" s="161"/>
      <c r="AD90" s="162"/>
      <c r="AE90" s="131"/>
      <c r="AF90" s="176"/>
      <c r="AG90" s="139"/>
      <c r="AH90" s="177"/>
      <c r="AI90" s="178"/>
      <c r="AK90" s="163"/>
      <c r="AL90" s="160"/>
      <c r="AM90" s="161"/>
      <c r="AN90" s="162"/>
      <c r="AP90" s="38" t="s">
        <v>302</v>
      </c>
      <c r="AQ90" s="23" t="s">
        <v>321</v>
      </c>
      <c r="AR90" s="119">
        <v>2.6666666666666665</v>
      </c>
      <c r="AT90" s="165"/>
      <c r="AU90" s="166"/>
      <c r="AV90" s="167"/>
      <c r="BY90" s="83" t="e">
        <f t="shared" si="12"/>
        <v>#DIV/0!</v>
      </c>
      <c r="CC90" s="86"/>
    </row>
    <row r="91" spans="1:81" ht="13" thickBot="1">
      <c r="A91" s="175"/>
      <c r="R91" s="143"/>
      <c r="S91" s="197"/>
      <c r="T91" s="205"/>
      <c r="U91" s="206"/>
      <c r="V91" s="207"/>
      <c r="W91" s="208"/>
      <c r="X91" s="209"/>
      <c r="Y91" s="218"/>
      <c r="Z91" s="131" t="s">
        <v>500</v>
      </c>
      <c r="AA91" s="163" t="s">
        <v>432</v>
      </c>
      <c r="AB91" s="160">
        <v>-8</v>
      </c>
      <c r="AC91" s="172">
        <v>0.8666666666666667</v>
      </c>
      <c r="AD91" s="173">
        <v>55.25</v>
      </c>
      <c r="AJ91" s="1" t="s">
        <v>500</v>
      </c>
      <c r="AK91" s="163" t="s">
        <v>432</v>
      </c>
      <c r="AL91" s="160">
        <v>-8</v>
      </c>
      <c r="AM91" s="161">
        <v>0.8666666666666667</v>
      </c>
      <c r="AN91" s="162">
        <v>55.25</v>
      </c>
      <c r="AP91" s="38" t="s">
        <v>302</v>
      </c>
      <c r="AQ91" s="23" t="s">
        <v>334</v>
      </c>
      <c r="AR91" s="119">
        <v>7.666666666666667</v>
      </c>
      <c r="AT91" s="165"/>
      <c r="AU91" s="166"/>
      <c r="AV91" s="167"/>
      <c r="BY91" s="83" t="e">
        <f t="shared" si="12"/>
        <v>#DIV/0!</v>
      </c>
      <c r="CC91" s="86"/>
    </row>
    <row r="92" spans="1:81" ht="13" thickBot="1">
      <c r="A92" s="175"/>
      <c r="R92" s="143"/>
      <c r="S92" s="197"/>
      <c r="T92" s="205"/>
      <c r="U92" s="206"/>
      <c r="V92" s="207"/>
      <c r="W92" s="208"/>
      <c r="X92" s="209"/>
      <c r="Y92" s="218"/>
      <c r="Z92" s="131"/>
      <c r="AA92" s="163"/>
      <c r="AB92" s="160"/>
      <c r="AC92" s="172"/>
      <c r="AD92" s="173"/>
      <c r="AK92" s="163"/>
      <c r="AL92" s="160"/>
      <c r="AM92" s="161"/>
      <c r="AN92" s="162"/>
      <c r="AP92" s="38" t="s">
        <v>302</v>
      </c>
      <c r="AQ92" s="23" t="s">
        <v>339</v>
      </c>
      <c r="AR92" s="119">
        <v>4.666666666666667</v>
      </c>
      <c r="AT92" s="165"/>
      <c r="AU92" s="166"/>
      <c r="AV92" s="167"/>
      <c r="BY92" s="83" t="e">
        <f t="shared" si="12"/>
        <v>#DIV/0!</v>
      </c>
      <c r="CC92" s="86"/>
    </row>
    <row r="93" spans="1:81" ht="13" thickBot="1">
      <c r="A93" s="175" t="s">
        <v>208</v>
      </c>
      <c r="B93" s="38">
        <f>PHIL!$G$57</f>
        <v>0</v>
      </c>
      <c r="C93" s="84">
        <f>PHIL!$G$58</f>
        <v>0.109</v>
      </c>
      <c r="D93" s="100">
        <f>PHIL!$G$55</f>
        <v>15.6</v>
      </c>
      <c r="E93" s="98">
        <f>PHIL!$G$54</f>
        <v>23</v>
      </c>
      <c r="F93" s="84">
        <f>E93/D93</f>
        <v>1.4743589743589745</v>
      </c>
      <c r="G93" s="93">
        <f>PHIL!$G$53</f>
        <v>6</v>
      </c>
      <c r="H93" s="141">
        <f>PHIL!$G$33</f>
        <v>3.3</v>
      </c>
      <c r="I93" s="84">
        <f>(H93/(H93+J93+L93+N93))</f>
        <v>0.3975903614457831</v>
      </c>
      <c r="J93" s="92">
        <f>PHIL!$G$34</f>
        <v>2.5</v>
      </c>
      <c r="K93" s="84">
        <f>(J93/(H93+J93+L93+N93))</f>
        <v>0.3012048192771084</v>
      </c>
      <c r="L93" s="100">
        <f>PHIL!$G$35</f>
        <v>2.5</v>
      </c>
      <c r="M93" s="84">
        <f>(L93/(H93+J93+L93+N93))</f>
        <v>0.3012048192771084</v>
      </c>
      <c r="N93" s="98">
        <f>PHIL!$G$36</f>
        <v>0</v>
      </c>
      <c r="O93" s="84">
        <f>(N93/(H93+J93+L93+N93))</f>
        <v>0</v>
      </c>
      <c r="P93" s="117">
        <f>PHIL!$G$44</f>
        <v>783.1325301204819</v>
      </c>
      <c r="Q93" s="84">
        <v>0.8137421693379628</v>
      </c>
      <c r="R93" s="143" t="s">
        <v>302</v>
      </c>
      <c r="S93" s="197"/>
      <c r="T93" s="205">
        <f>PHIL!G31</f>
        <v>82.38582153846156</v>
      </c>
      <c r="U93" s="206">
        <f>W93*T93</f>
        <v>535507.8400000001</v>
      </c>
      <c r="V93" s="207"/>
      <c r="W93" s="208">
        <v>6500</v>
      </c>
      <c r="X93" s="209"/>
      <c r="Y93" s="217">
        <v>0.076</v>
      </c>
      <c r="Z93" s="131"/>
      <c r="AA93" s="163"/>
      <c r="AB93" s="160"/>
      <c r="AC93" s="172"/>
      <c r="AD93" s="173"/>
      <c r="AK93" s="163"/>
      <c r="AL93" s="160"/>
      <c r="AM93" s="161"/>
      <c r="AN93" s="162"/>
      <c r="AP93" s="39" t="s">
        <v>302</v>
      </c>
      <c r="AQ93" s="40" t="s">
        <v>346</v>
      </c>
      <c r="AR93" s="120">
        <v>11.666666666666666</v>
      </c>
      <c r="AT93" s="165"/>
      <c r="AU93" s="166"/>
      <c r="AV93" s="167"/>
      <c r="BY93" s="83">
        <f>BW94/BX94</f>
        <v>0</v>
      </c>
      <c r="CC93" s="86"/>
    </row>
    <row r="94" spans="1:89" ht="13" thickBot="1">
      <c r="A94" s="175"/>
      <c r="S94" s="197"/>
      <c r="T94" s="213"/>
      <c r="U94" s="175"/>
      <c r="V94" s="207"/>
      <c r="W94" s="175"/>
      <c r="X94" s="209"/>
      <c r="Y94" s="175"/>
      <c r="Z94" s="131" t="s">
        <v>208</v>
      </c>
      <c r="AA94" s="163" t="s">
        <v>354</v>
      </c>
      <c r="AB94" s="160">
        <v>0</v>
      </c>
      <c r="AC94" s="172">
        <v>1</v>
      </c>
      <c r="AD94" s="173">
        <v>22.75</v>
      </c>
      <c r="AJ94" s="1" t="s">
        <v>208</v>
      </c>
      <c r="AK94" s="163" t="s">
        <v>354</v>
      </c>
      <c r="AL94" s="160">
        <v>0</v>
      </c>
      <c r="AM94" s="161">
        <v>1</v>
      </c>
      <c r="AN94" s="162">
        <v>22.75</v>
      </c>
      <c r="AP94" s="38" t="s">
        <v>302</v>
      </c>
      <c r="AQ94" s="23" t="s">
        <v>161</v>
      </c>
      <c r="AR94" s="119">
        <v>5</v>
      </c>
      <c r="AT94" s="165"/>
      <c r="AU94" s="166"/>
      <c r="AV94" s="167"/>
      <c r="BU94" s="1" t="s">
        <v>161</v>
      </c>
      <c r="BW94" s="1">
        <v>0</v>
      </c>
      <c r="BX94" s="1">
        <v>5</v>
      </c>
      <c r="BY94" s="83" t="e">
        <f>BW95/BX95</f>
        <v>#DIV/0!</v>
      </c>
      <c r="CA94" s="1">
        <v>2</v>
      </c>
      <c r="CB94" s="1">
        <v>8</v>
      </c>
      <c r="CC94" s="86">
        <f>CA94/CB94</f>
        <v>0.25</v>
      </c>
      <c r="CD94" s="142">
        <f>SUM(PHIL!G27:H29)</f>
        <v>535507.8400000001</v>
      </c>
      <c r="CG94" s="1">
        <v>1</v>
      </c>
      <c r="CH94" s="1">
        <v>4</v>
      </c>
      <c r="CJ94" s="1">
        <v>1</v>
      </c>
      <c r="CK94" s="1">
        <v>4</v>
      </c>
    </row>
    <row r="95" spans="20:81" ht="12.75" thickBot="1">
      <c r="T95" s="213"/>
      <c r="U95" s="175"/>
      <c r="V95" s="175"/>
      <c r="W95" s="175"/>
      <c r="X95" s="175"/>
      <c r="Y95" s="175"/>
      <c r="AP95" s="38" t="s">
        <v>302</v>
      </c>
      <c r="AQ95" s="23" t="s">
        <v>328</v>
      </c>
      <c r="AR95" s="119">
        <v>5.333333333333333</v>
      </c>
      <c r="AT95" s="165"/>
      <c r="AU95" s="166"/>
      <c r="AV95" s="167"/>
      <c r="BY95" s="83" t="e">
        <f>BW96/BX96</f>
        <v>#DIV/0!</v>
      </c>
      <c r="CC95" s="86"/>
    </row>
    <row r="96" spans="1:81" ht="13" thickBot="1">
      <c r="A96" s="175"/>
      <c r="B96" s="38"/>
      <c r="C96" s="84"/>
      <c r="D96" s="100"/>
      <c r="E96" s="98"/>
      <c r="F96" s="84"/>
      <c r="G96" s="93"/>
      <c r="H96" s="141"/>
      <c r="I96" s="84"/>
      <c r="J96" s="92"/>
      <c r="K96" s="84"/>
      <c r="L96" s="100"/>
      <c r="M96" s="84"/>
      <c r="N96" s="98"/>
      <c r="O96" s="84"/>
      <c r="P96" s="117"/>
      <c r="Q96" s="84"/>
      <c r="R96" s="143"/>
      <c r="S96" s="197"/>
      <c r="T96" s="205"/>
      <c r="U96" s="206"/>
      <c r="V96" s="207"/>
      <c r="W96" s="208"/>
      <c r="X96" s="209"/>
      <c r="Y96" s="217"/>
      <c r="Z96" s="131" t="s">
        <v>481</v>
      </c>
      <c r="AA96" s="163" t="s">
        <v>454</v>
      </c>
      <c r="AB96" s="160">
        <v>44</v>
      </c>
      <c r="AC96" s="172" t="e">
        <v>#DIV/0!</v>
      </c>
      <c r="AD96" s="173">
        <v>31.75</v>
      </c>
      <c r="AE96" s="131" t="s">
        <v>481</v>
      </c>
      <c r="AF96" s="163" t="s">
        <v>454</v>
      </c>
      <c r="AG96" s="160">
        <v>0</v>
      </c>
      <c r="AH96" s="164" t="e">
        <v>#DIV/0!</v>
      </c>
      <c r="AI96" s="1">
        <v>0</v>
      </c>
      <c r="AJ96" s="1" t="s">
        <v>481</v>
      </c>
      <c r="AK96" s="163" t="s">
        <v>454</v>
      </c>
      <c r="AL96" s="160">
        <v>44</v>
      </c>
      <c r="AM96" s="161" t="e">
        <v>#DIV/0!</v>
      </c>
      <c r="AN96" s="162">
        <v>31.75</v>
      </c>
      <c r="AP96" s="168" t="s">
        <v>302</v>
      </c>
      <c r="AQ96" s="169" t="s">
        <v>303</v>
      </c>
      <c r="AR96" s="170">
        <v>8.666666666666666</v>
      </c>
      <c r="AT96" s="165"/>
      <c r="AU96" s="166"/>
      <c r="AV96" s="167"/>
      <c r="BY96" s="83" t="e">
        <f>BW97/BX97</f>
        <v>#DIV/0!</v>
      </c>
      <c r="CC96" s="86"/>
    </row>
    <row r="97" spans="1:81" ht="13" thickBot="1">
      <c r="A97" s="175" t="s">
        <v>162</v>
      </c>
      <c r="B97" s="38">
        <f>Music!$G$57</f>
        <v>208</v>
      </c>
      <c r="C97" s="84">
        <f>Music!$G$58</f>
        <v>0.832</v>
      </c>
      <c r="D97" s="100">
        <f>Music!$G$55</f>
        <v>12.8</v>
      </c>
      <c r="E97" s="98">
        <f>Music!$G$54</f>
        <v>2</v>
      </c>
      <c r="F97" s="84">
        <f>E97/D97</f>
        <v>0.15625</v>
      </c>
      <c r="G97" s="93">
        <f>Music!$G$53</f>
        <v>13</v>
      </c>
      <c r="H97" s="141">
        <f>Music!$G$33</f>
        <v>6.6</v>
      </c>
      <c r="I97" s="84">
        <f>(H97/(H97+J97+L97+N97))</f>
        <v>0.2424242424242424</v>
      </c>
      <c r="J97" s="92">
        <f>Music!$G$34</f>
        <v>8.375</v>
      </c>
      <c r="K97" s="84">
        <f>(J97/(H97+J97+L97+N97))</f>
        <v>0.30762167125803486</v>
      </c>
      <c r="L97" s="100">
        <f>Music!$G$35</f>
        <v>11.875</v>
      </c>
      <c r="M97" s="84">
        <f>(L97/(H97+J97+L97+N97))</f>
        <v>0.4361799816345271</v>
      </c>
      <c r="N97" s="98">
        <f>Music!$G$36</f>
        <v>0.375</v>
      </c>
      <c r="O97" s="84">
        <f>(N97/(H97+J97+L97+N97))</f>
        <v>0.013774104683195591</v>
      </c>
      <c r="P97" s="117">
        <f>Music!$G$44</f>
        <v>252.81910009182735</v>
      </c>
      <c r="Q97" s="84">
        <v>0.9850744208482988</v>
      </c>
      <c r="R97" s="143" t="s">
        <v>162</v>
      </c>
      <c r="S97" s="197"/>
      <c r="T97" s="205">
        <f>Music!G31</f>
        <v>272.16100973412756</v>
      </c>
      <c r="U97" s="206">
        <f>W97*T97</f>
        <v>1886075.797457504</v>
      </c>
      <c r="V97" s="207"/>
      <c r="W97" s="208">
        <v>6930</v>
      </c>
      <c r="X97" s="209"/>
      <c r="Y97" s="217">
        <v>0.0792711415667342</v>
      </c>
      <c r="Z97" s="131" t="s">
        <v>504</v>
      </c>
      <c r="AA97" s="163" t="s">
        <v>267</v>
      </c>
      <c r="AB97" s="160">
        <v>0</v>
      </c>
      <c r="AC97" s="172" t="e">
        <v>#DIV/0!</v>
      </c>
      <c r="AD97" s="173">
        <v>0.25</v>
      </c>
      <c r="AJ97" s="1" t="s">
        <v>504</v>
      </c>
      <c r="AK97" s="163" t="s">
        <v>267</v>
      </c>
      <c r="AL97" s="160">
        <v>0</v>
      </c>
      <c r="AM97" s="161" t="e">
        <v>#DIV/0!</v>
      </c>
      <c r="AN97" s="162">
        <v>0.25</v>
      </c>
      <c r="BY97" s="83">
        <f>BW98/BX98</f>
        <v>0.8333333333333334</v>
      </c>
      <c r="CC97" s="86"/>
    </row>
    <row r="98" spans="1:89" ht="13" thickBot="1">
      <c r="A98" s="175"/>
      <c r="B98" s="38"/>
      <c r="C98" s="84"/>
      <c r="D98" s="100"/>
      <c r="E98" s="98"/>
      <c r="F98" s="84"/>
      <c r="G98" s="93"/>
      <c r="H98" s="141"/>
      <c r="I98" s="84"/>
      <c r="J98" s="92"/>
      <c r="K98" s="84"/>
      <c r="L98" s="100"/>
      <c r="M98" s="84"/>
      <c r="N98" s="98"/>
      <c r="O98" s="84"/>
      <c r="P98" s="117"/>
      <c r="Q98" s="84"/>
      <c r="R98" s="143"/>
      <c r="S98" s="197"/>
      <c r="T98" s="205"/>
      <c r="U98" s="206"/>
      <c r="V98" s="207"/>
      <c r="W98" s="208"/>
      <c r="X98" s="209"/>
      <c r="Y98" s="217"/>
      <c r="Z98" s="131" t="s">
        <v>504</v>
      </c>
      <c r="AA98" s="163" t="s">
        <v>323</v>
      </c>
      <c r="AB98" s="160">
        <v>-7</v>
      </c>
      <c r="AC98" s="172">
        <v>0.86</v>
      </c>
      <c r="AD98" s="173">
        <v>41.25</v>
      </c>
      <c r="AE98" s="131" t="s">
        <v>504</v>
      </c>
      <c r="AF98" s="163" t="s">
        <v>323</v>
      </c>
      <c r="AG98" s="160">
        <v>-4</v>
      </c>
      <c r="AH98" s="164">
        <v>0.75</v>
      </c>
      <c r="AI98" s="162">
        <v>14</v>
      </c>
      <c r="AJ98" s="1" t="s">
        <v>504</v>
      </c>
      <c r="AK98" s="163" t="s">
        <v>323</v>
      </c>
      <c r="AL98" s="160">
        <v>-11</v>
      </c>
      <c r="AM98" s="161">
        <v>0.8333333333333334</v>
      </c>
      <c r="AN98" s="162">
        <v>55.25</v>
      </c>
      <c r="AP98" s="168" t="s">
        <v>162</v>
      </c>
      <c r="AQ98" s="169" t="s">
        <v>162</v>
      </c>
      <c r="AR98" s="170">
        <v>4.333333333333333</v>
      </c>
      <c r="AT98" s="165" t="s">
        <v>162</v>
      </c>
      <c r="AU98" s="166" t="s">
        <v>162</v>
      </c>
      <c r="AV98" s="167">
        <v>5.666666666666667</v>
      </c>
      <c r="BU98" s="1" t="s">
        <v>162</v>
      </c>
      <c r="BW98" s="1">
        <v>5</v>
      </c>
      <c r="BX98" s="1">
        <v>6</v>
      </c>
      <c r="BY98" s="83" t="e">
        <f>#REF!/#REF!</f>
        <v>#REF!</v>
      </c>
      <c r="CA98" s="1">
        <v>9</v>
      </c>
      <c r="CB98" s="1">
        <v>10</v>
      </c>
      <c r="CC98" s="86">
        <f>CA98/CB98</f>
        <v>0.9</v>
      </c>
      <c r="CD98" s="142">
        <f>SUM(Music!G27:H29)</f>
        <v>1873284.23</v>
      </c>
      <c r="CG98" s="1">
        <v>5</v>
      </c>
      <c r="CH98" s="1">
        <v>6</v>
      </c>
      <c r="CJ98" s="1">
        <v>4</v>
      </c>
      <c r="CK98" s="1">
        <v>4</v>
      </c>
    </row>
    <row r="99" spans="1:81" ht="13" thickBot="1">
      <c r="A99" s="175"/>
      <c r="B99" s="38"/>
      <c r="C99" s="84"/>
      <c r="D99" s="100"/>
      <c r="E99" s="98"/>
      <c r="F99" s="84"/>
      <c r="G99" s="93"/>
      <c r="H99" s="141"/>
      <c r="I99" s="84"/>
      <c r="J99" s="92"/>
      <c r="K99" s="84"/>
      <c r="L99" s="100"/>
      <c r="M99" s="84"/>
      <c r="N99" s="98"/>
      <c r="O99" s="84"/>
      <c r="P99" s="117"/>
      <c r="Q99" s="84"/>
      <c r="R99" s="143"/>
      <c r="S99" s="197"/>
      <c r="T99" s="205"/>
      <c r="U99" s="206"/>
      <c r="V99" s="207"/>
      <c r="W99" s="208"/>
      <c r="X99" s="209"/>
      <c r="Y99" s="217"/>
      <c r="Z99" s="131" t="s">
        <v>504</v>
      </c>
      <c r="AA99" s="163" t="s">
        <v>326</v>
      </c>
      <c r="AB99" s="160">
        <v>9</v>
      </c>
      <c r="AC99" s="172">
        <v>1.2432432432432432</v>
      </c>
      <c r="AD99" s="173">
        <v>40.25</v>
      </c>
      <c r="AE99" s="131"/>
      <c r="AF99" s="163"/>
      <c r="AG99" s="160"/>
      <c r="AH99" s="164"/>
      <c r="AI99" s="162"/>
      <c r="AJ99" s="1" t="s">
        <v>504</v>
      </c>
      <c r="AK99" s="163" t="s">
        <v>326</v>
      </c>
      <c r="AL99" s="160">
        <v>9</v>
      </c>
      <c r="AM99" s="161">
        <v>1.2432432432432432</v>
      </c>
      <c r="AN99" s="162">
        <v>40.25</v>
      </c>
      <c r="AP99" s="39" t="s">
        <v>162</v>
      </c>
      <c r="AQ99" s="40" t="s">
        <v>357</v>
      </c>
      <c r="AR99" s="120">
        <v>4.666666666666667</v>
      </c>
      <c r="AT99" s="165"/>
      <c r="AU99" s="166"/>
      <c r="AV99" s="167"/>
      <c r="BY99" s="83" t="e">
        <f t="shared" si="12"/>
        <v>#DIV/0!</v>
      </c>
      <c r="CC99" s="86"/>
    </row>
    <row r="100" spans="1:81" ht="13" thickBot="1">
      <c r="A100" s="175"/>
      <c r="B100" s="38"/>
      <c r="C100" s="84"/>
      <c r="D100" s="100"/>
      <c r="E100" s="98"/>
      <c r="F100" s="84"/>
      <c r="G100" s="93"/>
      <c r="H100" s="141"/>
      <c r="I100" s="84"/>
      <c r="J100" s="92"/>
      <c r="K100" s="84"/>
      <c r="L100" s="100"/>
      <c r="M100" s="84"/>
      <c r="N100" s="98"/>
      <c r="O100" s="84"/>
      <c r="P100" s="117"/>
      <c r="Q100" s="84"/>
      <c r="R100" s="143"/>
      <c r="S100" s="197"/>
      <c r="T100" s="205"/>
      <c r="U100" s="206"/>
      <c r="V100" s="207"/>
      <c r="W100" s="208"/>
      <c r="X100" s="209"/>
      <c r="Y100" s="217"/>
      <c r="Z100" s="131" t="s">
        <v>504</v>
      </c>
      <c r="AA100" s="163" t="s">
        <v>331</v>
      </c>
      <c r="AB100" s="160">
        <v>1</v>
      </c>
      <c r="AC100" s="172" t="e">
        <v>#DIV/0!</v>
      </c>
      <c r="AD100" s="173">
        <v>0.25</v>
      </c>
      <c r="AE100" s="131"/>
      <c r="AF100" s="163"/>
      <c r="AG100" s="160"/>
      <c r="AH100" s="164"/>
      <c r="AI100" s="162"/>
      <c r="AJ100" s="1" t="s">
        <v>504</v>
      </c>
      <c r="AK100" s="163" t="s">
        <v>331</v>
      </c>
      <c r="AL100" s="160">
        <v>1</v>
      </c>
      <c r="AM100" s="161" t="e">
        <v>#DIV/0!</v>
      </c>
      <c r="AN100" s="162">
        <v>0.25</v>
      </c>
      <c r="AP100" s="38"/>
      <c r="AQ100" s="23"/>
      <c r="AR100" s="119"/>
      <c r="AT100" s="165"/>
      <c r="AU100" s="166"/>
      <c r="AV100" s="167"/>
      <c r="BY100" s="83" t="e">
        <f t="shared" si="12"/>
        <v>#DIV/0!</v>
      </c>
      <c r="CC100" s="86"/>
    </row>
    <row r="101" spans="1:89" ht="13" thickBot="1">
      <c r="A101" s="175" t="s">
        <v>209</v>
      </c>
      <c r="B101" s="38">
        <f>POLIIAPADM!$G$57</f>
        <v>2</v>
      </c>
      <c r="C101" s="84">
        <f>POLIIAPADM!$G$58</f>
        <v>0.138</v>
      </c>
      <c r="D101" s="100">
        <f>POLIIAPADM!$G$55</f>
        <v>19.2</v>
      </c>
      <c r="E101" s="98">
        <f>POLIIAPADM!$G$54</f>
        <v>26</v>
      </c>
      <c r="F101" s="84">
        <f t="shared" si="0"/>
        <v>1.3541666666666667</v>
      </c>
      <c r="G101" s="93">
        <f>POLIIAPADM!$G$53</f>
        <v>20</v>
      </c>
      <c r="H101" s="141">
        <f>POLIIAPADM!$G$33</f>
        <v>6.6</v>
      </c>
      <c r="I101" s="84">
        <f t="shared" si="1"/>
        <v>0.8275862068965517</v>
      </c>
      <c r="J101" s="92">
        <f>POLIIAPADM!$G$34</f>
        <v>1.25</v>
      </c>
      <c r="K101" s="84">
        <f t="shared" si="2"/>
        <v>0.15673981191222572</v>
      </c>
      <c r="L101" s="100">
        <f>POLIIAPADM!$G$35</f>
        <v>0.125</v>
      </c>
      <c r="M101" s="84">
        <f t="shared" si="3"/>
        <v>0.015673981191222573</v>
      </c>
      <c r="N101" s="98">
        <f>POLIIAPADM!$G$36</f>
        <v>0</v>
      </c>
      <c r="O101" s="84">
        <f t="shared" si="4"/>
        <v>0</v>
      </c>
      <c r="P101" s="117">
        <f>POLIIAPADM!$G$44</f>
        <v>1238.369905956113</v>
      </c>
      <c r="Q101" s="84">
        <v>1.1330008288711007</v>
      </c>
      <c r="R101" s="143" t="s">
        <v>392</v>
      </c>
      <c r="S101" s="197"/>
      <c r="T101" s="205">
        <f>POLIIAPADM!G31</f>
        <v>144.79519339813692</v>
      </c>
      <c r="U101" s="206">
        <f>W101*T101</f>
        <v>1429997.33</v>
      </c>
      <c r="V101" s="207"/>
      <c r="W101" s="208">
        <f>POLIIAPADM!G11+POLIIAPADM!G18</f>
        <v>9876</v>
      </c>
      <c r="X101" s="209"/>
      <c r="Y101" s="218">
        <v>-0.0177812569894878</v>
      </c>
      <c r="Z101" s="131"/>
      <c r="AA101" s="163"/>
      <c r="AB101" s="160"/>
      <c r="AC101" s="172"/>
      <c r="AD101" s="173"/>
      <c r="AE101" s="131" t="s">
        <v>503</v>
      </c>
      <c r="AF101" s="163" t="s">
        <v>433</v>
      </c>
      <c r="AG101" s="160">
        <v>6</v>
      </c>
      <c r="AH101" s="164">
        <v>1.1132075471698113</v>
      </c>
      <c r="AI101" s="162">
        <v>55</v>
      </c>
      <c r="AJ101" s="1" t="s">
        <v>503</v>
      </c>
      <c r="AK101" s="163" t="s">
        <v>433</v>
      </c>
      <c r="AL101" s="160">
        <v>6</v>
      </c>
      <c r="AM101" s="161">
        <v>1.1132075471698113</v>
      </c>
      <c r="AN101" s="162">
        <v>55</v>
      </c>
      <c r="AP101" s="38"/>
      <c r="AQ101" s="23"/>
      <c r="AR101" s="119"/>
      <c r="AT101" s="165" t="s">
        <v>340</v>
      </c>
      <c r="AU101" s="166" t="s">
        <v>341</v>
      </c>
      <c r="AV101" s="167">
        <v>19.333333333333332</v>
      </c>
      <c r="BU101" s="1" t="s">
        <v>561</v>
      </c>
      <c r="BW101" s="1">
        <v>1</v>
      </c>
      <c r="BX101" s="1">
        <v>5</v>
      </c>
      <c r="BY101" s="83">
        <f t="shared" si="12"/>
        <v>0.2</v>
      </c>
      <c r="CA101" s="1">
        <v>4</v>
      </c>
      <c r="CB101" s="1">
        <v>10</v>
      </c>
      <c r="CC101" s="86">
        <f>CA101/CB101</f>
        <v>0.4</v>
      </c>
      <c r="CD101" s="142">
        <f>SUM(POLIIAPADM!G27:H29)</f>
        <v>1429997.33</v>
      </c>
      <c r="CG101" s="1">
        <v>3</v>
      </c>
      <c r="CH101" s="1">
        <v>6</v>
      </c>
      <c r="CJ101" s="1">
        <v>1</v>
      </c>
      <c r="CK101" s="1">
        <v>4</v>
      </c>
    </row>
    <row r="102" spans="1:81" ht="12.25">
      <c r="A102" s="175"/>
      <c r="T102" s="213"/>
      <c r="U102" s="175"/>
      <c r="V102" s="175"/>
      <c r="W102" s="175"/>
      <c r="X102" s="175"/>
      <c r="Y102" s="175"/>
      <c r="Z102" s="131" t="s">
        <v>503</v>
      </c>
      <c r="AA102" s="163" t="s">
        <v>257</v>
      </c>
      <c r="AB102" s="160">
        <v>-18</v>
      </c>
      <c r="AC102" s="172">
        <v>0.6086956521739131</v>
      </c>
      <c r="AD102" s="173">
        <v>39</v>
      </c>
      <c r="AE102" s="131"/>
      <c r="AF102" s="163"/>
      <c r="AG102" s="160"/>
      <c r="AH102" s="164"/>
      <c r="AI102" s="162"/>
      <c r="AJ102" s="1" t="s">
        <v>503</v>
      </c>
      <c r="AK102" s="163" t="s">
        <v>257</v>
      </c>
      <c r="AL102" s="160">
        <v>-18</v>
      </c>
      <c r="AM102" s="161">
        <v>0.6086956521739131</v>
      </c>
      <c r="AN102" s="162">
        <v>39</v>
      </c>
      <c r="AP102" s="168" t="s">
        <v>340</v>
      </c>
      <c r="AQ102" s="169" t="s">
        <v>365</v>
      </c>
      <c r="AR102" s="170">
        <v>20.666666666666668</v>
      </c>
      <c r="BY102" s="83" t="e">
        <f t="shared" si="12"/>
        <v>#DIV/0!</v>
      </c>
      <c r="CC102" s="86"/>
    </row>
    <row r="103" spans="1:81" ht="12.25">
      <c r="A103" s="175"/>
      <c r="R103" s="143"/>
      <c r="S103" s="197"/>
      <c r="T103" s="205"/>
      <c r="U103" s="206"/>
      <c r="V103" s="207"/>
      <c r="W103" s="208"/>
      <c r="X103" s="209"/>
      <c r="Y103" s="218"/>
      <c r="Z103" s="131" t="s">
        <v>503</v>
      </c>
      <c r="AA103" s="163" t="s">
        <v>375</v>
      </c>
      <c r="AB103" s="160">
        <v>12</v>
      </c>
      <c r="AC103" s="172">
        <v>1.2142857142857142</v>
      </c>
      <c r="AD103" s="173">
        <v>64</v>
      </c>
      <c r="AE103" s="131"/>
      <c r="AF103" s="163"/>
      <c r="AG103" s="160"/>
      <c r="AH103" s="164"/>
      <c r="AI103" s="162"/>
      <c r="AJ103" s="1" t="s">
        <v>503</v>
      </c>
      <c r="AK103" s="163" t="s">
        <v>375</v>
      </c>
      <c r="AL103" s="160">
        <v>12</v>
      </c>
      <c r="AM103" s="161">
        <v>1.2142857142857142</v>
      </c>
      <c r="AN103" s="162">
        <v>64</v>
      </c>
      <c r="AP103" s="38" t="s">
        <v>340</v>
      </c>
      <c r="AQ103" s="23" t="s">
        <v>372</v>
      </c>
      <c r="AR103" s="119">
        <v>13</v>
      </c>
      <c r="BY103" s="83" t="e">
        <f t="shared" si="12"/>
        <v>#DIV/0!</v>
      </c>
      <c r="CC103" s="86"/>
    </row>
    <row r="104" spans="1:81" ht="13" thickBot="1">
      <c r="A104" s="175"/>
      <c r="R104" s="143"/>
      <c r="S104" s="197"/>
      <c r="T104" s="205"/>
      <c r="U104" s="206"/>
      <c r="V104" s="207"/>
      <c r="W104" s="208"/>
      <c r="X104" s="209"/>
      <c r="Y104" s="218"/>
      <c r="Z104" s="131"/>
      <c r="AA104" s="163"/>
      <c r="AB104" s="160"/>
      <c r="AC104" s="172"/>
      <c r="AD104" s="173"/>
      <c r="AE104" s="131"/>
      <c r="AF104" s="163"/>
      <c r="AG104" s="160"/>
      <c r="AH104" s="164"/>
      <c r="AI104" s="162"/>
      <c r="AK104" s="163"/>
      <c r="AL104" s="160"/>
      <c r="AM104" s="161"/>
      <c r="AN104" s="162"/>
      <c r="AP104" s="39" t="s">
        <v>340</v>
      </c>
      <c r="AQ104" s="40" t="s">
        <v>378</v>
      </c>
      <c r="AR104" s="120">
        <v>21</v>
      </c>
      <c r="BY104" s="83" t="e">
        <f t="shared" si="12"/>
        <v>#DIV/0!</v>
      </c>
      <c r="CC104" s="86"/>
    </row>
    <row r="105" spans="1:89" ht="13" thickBot="1">
      <c r="A105" s="175" t="s">
        <v>211</v>
      </c>
      <c r="B105" s="39">
        <f>WMST!$G$57</f>
        <v>0</v>
      </c>
      <c r="C105" s="85">
        <f>WMST!$G$58</f>
        <v>0.108</v>
      </c>
      <c r="D105" s="101">
        <f>WMST!$G$55</f>
        <v>20.3</v>
      </c>
      <c r="E105" s="99">
        <f>WMST!$G$54</f>
        <v>17</v>
      </c>
      <c r="F105" s="85">
        <f>E105/D105</f>
        <v>0.8374384236453202</v>
      </c>
      <c r="G105" s="95">
        <f>WMST!$G$53</f>
        <v>2</v>
      </c>
      <c r="H105" s="153">
        <f>WMST!$G$33</f>
        <v>1.2</v>
      </c>
      <c r="I105" s="85">
        <f>(H105/(H105+J105+L105+N105))</f>
        <v>0.5454545454545454</v>
      </c>
      <c r="J105" s="94">
        <f>WMST!$G$34</f>
        <v>1</v>
      </c>
      <c r="K105" s="85">
        <f>(J105/(H105+J105+L105+N105))</f>
        <v>0.45454545454545453</v>
      </c>
      <c r="L105" s="101">
        <f>WMST!$G$35</f>
        <v>0</v>
      </c>
      <c r="M105" s="85">
        <f>(L105/(H105+J105+L105+N105))</f>
        <v>0</v>
      </c>
      <c r="N105" s="99">
        <f>WMST!$G$36</f>
        <v>0</v>
      </c>
      <c r="O105" s="85">
        <f>(N105/(H105+J105+L105+N105))</f>
        <v>0</v>
      </c>
      <c r="P105" s="118">
        <f>WMST!$G$44</f>
        <v>692.2727272727273</v>
      </c>
      <c r="Q105" s="85">
        <v>0.8583435432492035</v>
      </c>
      <c r="R105" s="143" t="s">
        <v>447</v>
      </c>
      <c r="S105" s="197"/>
      <c r="T105" s="205">
        <v>329</v>
      </c>
      <c r="U105" s="206">
        <f>W105*T105</f>
        <v>524426</v>
      </c>
      <c r="V105" s="207"/>
      <c r="W105" s="208">
        <v>1594</v>
      </c>
      <c r="X105" s="209"/>
      <c r="Y105" s="218">
        <v>-0.176652892561983</v>
      </c>
      <c r="Z105" s="131" t="s">
        <v>211</v>
      </c>
      <c r="AA105" s="163" t="s">
        <v>461</v>
      </c>
      <c r="AB105" s="160">
        <v>-10</v>
      </c>
      <c r="AC105" s="172">
        <v>0.4117647058823529</v>
      </c>
      <c r="AD105" s="173">
        <v>12</v>
      </c>
      <c r="AE105" s="131" t="s">
        <v>211</v>
      </c>
      <c r="AF105" s="163" t="s">
        <v>461</v>
      </c>
      <c r="AG105" s="160">
        <v>-1</v>
      </c>
      <c r="AH105" s="164">
        <v>0.5</v>
      </c>
      <c r="AI105" s="162">
        <v>1.75</v>
      </c>
      <c r="AJ105" s="1" t="s">
        <v>211</v>
      </c>
      <c r="AK105" s="163" t="s">
        <v>461</v>
      </c>
      <c r="AL105" s="160">
        <v>-11</v>
      </c>
      <c r="AM105" s="161">
        <v>0.42105263157894735</v>
      </c>
      <c r="AN105" s="162">
        <v>13.75</v>
      </c>
      <c r="AP105" s="165" t="s">
        <v>390</v>
      </c>
      <c r="AQ105" s="166" t="s">
        <v>391</v>
      </c>
      <c r="AR105" s="167">
        <v>6.666666666666667</v>
      </c>
      <c r="BU105" s="1" t="s">
        <v>181</v>
      </c>
      <c r="BW105" s="1">
        <v>4</v>
      </c>
      <c r="BX105" s="1">
        <v>5</v>
      </c>
      <c r="BY105" s="83">
        <f t="shared" si="12"/>
        <v>0.8</v>
      </c>
      <c r="CA105" s="1">
        <v>6</v>
      </c>
      <c r="CB105" s="1">
        <v>8</v>
      </c>
      <c r="CC105" s="86">
        <f>CA105/CB105</f>
        <v>0.75</v>
      </c>
      <c r="CD105" s="142">
        <f>SUM(WMST!G27:H28)</f>
        <v>321561.42</v>
      </c>
      <c r="CG105" s="1">
        <v>4</v>
      </c>
      <c r="CH105" s="1">
        <v>4</v>
      </c>
      <c r="CJ105" s="1">
        <v>2</v>
      </c>
      <c r="CK105" s="1">
        <v>4</v>
      </c>
    </row>
    <row r="106" spans="1:89" ht="12.25">
      <c r="A106" s="175" t="s">
        <v>170</v>
      </c>
      <c r="B106" s="38">
        <f>PSYC!$G$57</f>
        <v>3</v>
      </c>
      <c r="C106" s="84">
        <f>PSYC!$G$58</f>
        <v>0.153</v>
      </c>
      <c r="D106" s="100">
        <f>PSYC!$G$55</f>
        <v>11.2</v>
      </c>
      <c r="E106" s="98">
        <f>PSYC!$G$54</f>
        <v>30</v>
      </c>
      <c r="F106" s="84">
        <f>E106/D106</f>
        <v>2.678571428571429</v>
      </c>
      <c r="G106" s="93">
        <f>PSYC!$G$53</f>
        <v>20</v>
      </c>
      <c r="H106" s="141">
        <f>PSYC!$G$33</f>
        <v>5.9</v>
      </c>
      <c r="I106" s="84">
        <f>(H106/(H106+J106+L106+N106))</f>
        <v>0.6020408163265306</v>
      </c>
      <c r="J106" s="92">
        <f>PSYC!$G$34</f>
        <v>2</v>
      </c>
      <c r="K106" s="84">
        <f>(J106/(H106+J106+L106+N106))</f>
        <v>0.2040816326530612</v>
      </c>
      <c r="L106" s="100">
        <f>PSYC!$G$35</f>
        <v>1.9</v>
      </c>
      <c r="M106" s="84">
        <f>(L106/(H106+J106+L106+N106))</f>
        <v>0.19387755102040813</v>
      </c>
      <c r="N106" s="98">
        <f>PSYC!$G$36</f>
        <v>0</v>
      </c>
      <c r="O106" s="84">
        <f>(N106/(H106+J106+L106+N106))</f>
        <v>0</v>
      </c>
      <c r="P106" s="117">
        <f>PSYC!$G$44</f>
        <v>3353.3673469387754</v>
      </c>
      <c r="Q106" s="84">
        <v>1.1771948011171256</v>
      </c>
      <c r="R106" s="143" t="s">
        <v>347</v>
      </c>
      <c r="S106" s="197"/>
      <c r="T106" s="205">
        <v>83</v>
      </c>
      <c r="U106" s="206">
        <f t="shared" si="7"/>
        <v>2727629</v>
      </c>
      <c r="V106" s="207"/>
      <c r="W106" s="208">
        <v>32863</v>
      </c>
      <c r="X106" s="209"/>
      <c r="Y106" s="217">
        <v>0.00305222354485246</v>
      </c>
      <c r="Z106" s="131" t="s">
        <v>170</v>
      </c>
      <c r="AA106" s="163" t="s">
        <v>256</v>
      </c>
      <c r="AB106" s="160">
        <v>43</v>
      </c>
      <c r="AC106" s="161">
        <v>1.4056603773584906</v>
      </c>
      <c r="AD106" s="162">
        <v>135.5</v>
      </c>
      <c r="AE106" s="131"/>
      <c r="AF106" s="163"/>
      <c r="AG106" s="160"/>
      <c r="AH106" s="164"/>
      <c r="AI106" s="162"/>
      <c r="AJ106" s="131" t="s">
        <v>170</v>
      </c>
      <c r="AK106" s="163" t="s">
        <v>256</v>
      </c>
      <c r="AL106" s="160">
        <v>43</v>
      </c>
      <c r="AM106" s="161">
        <v>1.4056603773584906</v>
      </c>
      <c r="AN106" s="162">
        <v>135.5</v>
      </c>
      <c r="AP106" s="168" t="s">
        <v>347</v>
      </c>
      <c r="AQ106" s="169" t="s">
        <v>395</v>
      </c>
      <c r="AR106" s="170">
        <v>50.666666666666664</v>
      </c>
      <c r="BU106" s="1" t="s">
        <v>347</v>
      </c>
      <c r="BW106" s="1">
        <v>2</v>
      </c>
      <c r="BX106" s="1">
        <v>6</v>
      </c>
      <c r="BY106" s="83">
        <f t="shared" si="12"/>
        <v>0.3333333333333333</v>
      </c>
      <c r="CA106" s="1">
        <v>4</v>
      </c>
      <c r="CB106" s="1">
        <v>10</v>
      </c>
      <c r="CC106" s="86">
        <f>CA106/CB106</f>
        <v>0.4</v>
      </c>
      <c r="CD106" s="142">
        <f>SUM(PSYC!G27:H29)</f>
        <v>1858129.5099999998</v>
      </c>
      <c r="CG106" s="1">
        <v>3</v>
      </c>
      <c r="CH106" s="1">
        <v>6</v>
      </c>
      <c r="CJ106" s="1">
        <v>1</v>
      </c>
      <c r="CK106" s="1">
        <v>4</v>
      </c>
    </row>
    <row r="107" spans="1:81" ht="12.25">
      <c r="A107" s="175"/>
      <c r="B107" s="23"/>
      <c r="C107" s="84"/>
      <c r="D107" s="100"/>
      <c r="E107" s="98"/>
      <c r="F107" s="84"/>
      <c r="G107" s="127"/>
      <c r="H107" s="180"/>
      <c r="I107" s="84"/>
      <c r="J107" s="92"/>
      <c r="K107" s="84"/>
      <c r="L107" s="100"/>
      <c r="M107" s="84"/>
      <c r="N107" s="98"/>
      <c r="O107" s="84"/>
      <c r="P107" s="117"/>
      <c r="Q107" s="84"/>
      <c r="R107" s="143"/>
      <c r="S107" s="197"/>
      <c r="T107" s="205"/>
      <c r="U107" s="206"/>
      <c r="V107" s="207"/>
      <c r="W107" s="208"/>
      <c r="X107" s="209"/>
      <c r="Y107" s="217"/>
      <c r="Z107" s="131"/>
      <c r="AA107" s="163"/>
      <c r="AB107" s="160"/>
      <c r="AC107" s="161"/>
      <c r="AD107" s="162"/>
      <c r="AE107" s="131" t="s">
        <v>170</v>
      </c>
      <c r="AF107" s="163" t="s">
        <v>258</v>
      </c>
      <c r="AG107" s="160">
        <v>-14</v>
      </c>
      <c r="AH107" s="164">
        <v>0</v>
      </c>
      <c r="AI107" s="162">
        <v>3.5</v>
      </c>
      <c r="AJ107" s="131" t="s">
        <v>170</v>
      </c>
      <c r="AK107" s="163" t="s">
        <v>258</v>
      </c>
      <c r="AL107" s="160">
        <v>-14</v>
      </c>
      <c r="AM107" s="161">
        <v>0</v>
      </c>
      <c r="AN107" s="162">
        <v>3.5</v>
      </c>
      <c r="AP107" s="38"/>
      <c r="AQ107" s="23"/>
      <c r="AR107" s="119"/>
      <c r="BY107" s="83" t="e">
        <f t="shared" si="12"/>
        <v>#DIV/0!</v>
      </c>
      <c r="CC107" s="86"/>
    </row>
    <row r="108" spans="1:81" ht="13" thickBot="1">
      <c r="A108" s="175"/>
      <c r="B108" s="23"/>
      <c r="C108" s="84"/>
      <c r="D108" s="100"/>
      <c r="E108" s="98"/>
      <c r="F108" s="84"/>
      <c r="G108" s="127"/>
      <c r="H108" s="180"/>
      <c r="I108" s="84"/>
      <c r="J108" s="92"/>
      <c r="K108" s="84"/>
      <c r="L108" s="100"/>
      <c r="M108" s="84"/>
      <c r="N108" s="98"/>
      <c r="O108" s="84"/>
      <c r="P108" s="117"/>
      <c r="Q108" s="84"/>
      <c r="R108" s="143"/>
      <c r="S108" s="197"/>
      <c r="T108" s="205"/>
      <c r="U108" s="206"/>
      <c r="V108" s="207"/>
      <c r="W108" s="208"/>
      <c r="X108" s="209"/>
      <c r="Y108" s="217"/>
      <c r="Z108" s="131"/>
      <c r="AA108" s="163"/>
      <c r="AB108" s="160"/>
      <c r="AC108" s="161"/>
      <c r="AD108" s="162"/>
      <c r="AE108" s="131" t="s">
        <v>170</v>
      </c>
      <c r="AF108" s="163" t="s">
        <v>293</v>
      </c>
      <c r="AG108" s="160">
        <v>27</v>
      </c>
      <c r="AH108" s="164" t="e">
        <v>#DIV/0!</v>
      </c>
      <c r="AI108" s="162">
        <v>6.75</v>
      </c>
      <c r="AJ108" s="131" t="s">
        <v>170</v>
      </c>
      <c r="AK108" s="163" t="s">
        <v>293</v>
      </c>
      <c r="AL108" s="160">
        <v>27</v>
      </c>
      <c r="AM108" s="161" t="e">
        <v>#DIV/0!</v>
      </c>
      <c r="AN108" s="162">
        <v>6.75</v>
      </c>
      <c r="AP108" s="38"/>
      <c r="AQ108" s="23"/>
      <c r="AR108" s="119"/>
      <c r="BY108" s="83" t="e">
        <f t="shared" si="12"/>
        <v>#DIV/0!</v>
      </c>
      <c r="CC108" s="86"/>
    </row>
    <row r="109" spans="1:81" ht="12.25">
      <c r="A109" s="175"/>
      <c r="B109" s="23"/>
      <c r="C109" s="84"/>
      <c r="D109" s="100"/>
      <c r="E109" s="98"/>
      <c r="F109" s="84"/>
      <c r="G109" s="127"/>
      <c r="H109" s="180"/>
      <c r="I109" s="84"/>
      <c r="J109" s="92"/>
      <c r="K109" s="84"/>
      <c r="L109" s="100"/>
      <c r="M109" s="84"/>
      <c r="N109" s="98"/>
      <c r="O109" s="84"/>
      <c r="P109" s="117"/>
      <c r="Q109" s="84"/>
      <c r="R109" s="143"/>
      <c r="S109" s="197"/>
      <c r="T109" s="205"/>
      <c r="U109" s="206"/>
      <c r="V109" s="207"/>
      <c r="W109" s="208"/>
      <c r="X109" s="209"/>
      <c r="Y109" s="217"/>
      <c r="Z109" s="131"/>
      <c r="AA109" s="163"/>
      <c r="AB109" s="160"/>
      <c r="AC109" s="161"/>
      <c r="AD109" s="162"/>
      <c r="AE109" s="131" t="s">
        <v>170</v>
      </c>
      <c r="AF109" s="163" t="s">
        <v>300</v>
      </c>
      <c r="AG109" s="160">
        <v>-9</v>
      </c>
      <c r="AH109" s="164">
        <v>0.6666666666666666</v>
      </c>
      <c r="AI109" s="162">
        <v>29</v>
      </c>
      <c r="AJ109" s="131" t="s">
        <v>170</v>
      </c>
      <c r="AK109" s="163" t="s">
        <v>300</v>
      </c>
      <c r="AL109" s="160">
        <v>-9</v>
      </c>
      <c r="AM109" s="161">
        <v>0.6666666666666666</v>
      </c>
      <c r="AN109" s="162">
        <v>29</v>
      </c>
      <c r="AP109" s="38"/>
      <c r="AQ109" s="23"/>
      <c r="AR109" s="119"/>
      <c r="AT109" s="168" t="s">
        <v>347</v>
      </c>
      <c r="AU109" s="169" t="s">
        <v>348</v>
      </c>
      <c r="AV109" s="170">
        <v>17.666666666666668</v>
      </c>
      <c r="BY109" s="83" t="e">
        <f t="shared" si="12"/>
        <v>#DIV/0!</v>
      </c>
      <c r="CC109" s="86"/>
    </row>
    <row r="110" spans="1:81" ht="13" thickBot="1">
      <c r="A110" s="175"/>
      <c r="B110" s="23"/>
      <c r="C110" s="84"/>
      <c r="D110" s="100"/>
      <c r="E110" s="98"/>
      <c r="F110" s="84"/>
      <c r="G110" s="127"/>
      <c r="H110" s="180"/>
      <c r="I110" s="84"/>
      <c r="J110" s="92"/>
      <c r="K110" s="84"/>
      <c r="L110" s="100"/>
      <c r="M110" s="84"/>
      <c r="N110" s="98"/>
      <c r="O110" s="84"/>
      <c r="P110" s="117"/>
      <c r="Q110" s="84"/>
      <c r="R110" s="143"/>
      <c r="S110" s="197"/>
      <c r="T110" s="205"/>
      <c r="U110" s="206"/>
      <c r="V110" s="207"/>
      <c r="W110" s="208"/>
      <c r="X110" s="209"/>
      <c r="Y110" s="217"/>
      <c r="Z110" s="131" t="s">
        <v>170</v>
      </c>
      <c r="AA110" s="163" t="s">
        <v>398</v>
      </c>
      <c r="AB110" s="160">
        <v>-43</v>
      </c>
      <c r="AC110" s="172">
        <v>0.8088888888888889</v>
      </c>
      <c r="AD110" s="173">
        <v>197.75</v>
      </c>
      <c r="AE110" s="131" t="s">
        <v>170</v>
      </c>
      <c r="AF110" s="163" t="s">
        <v>398</v>
      </c>
      <c r="AG110" s="160">
        <v>-12</v>
      </c>
      <c r="AH110" s="164">
        <v>0.52</v>
      </c>
      <c r="AI110" s="162">
        <v>19.75</v>
      </c>
      <c r="AJ110" s="1" t="s">
        <v>170</v>
      </c>
      <c r="AK110" s="163" t="s">
        <v>398</v>
      </c>
      <c r="AL110" s="160">
        <v>-55</v>
      </c>
      <c r="AM110" s="161">
        <v>0.78</v>
      </c>
      <c r="AN110" s="162">
        <v>217.5</v>
      </c>
      <c r="AP110" s="39" t="s">
        <v>347</v>
      </c>
      <c r="AQ110" s="40" t="s">
        <v>347</v>
      </c>
      <c r="AR110" s="120">
        <v>131.33333333333334</v>
      </c>
      <c r="AT110" s="39" t="s">
        <v>347</v>
      </c>
      <c r="AU110" s="40" t="s">
        <v>347</v>
      </c>
      <c r="AV110" s="120">
        <v>8</v>
      </c>
      <c r="BY110" s="83" t="e">
        <f t="shared" si="12"/>
        <v>#DIV/0!</v>
      </c>
      <c r="CC110" s="86"/>
    </row>
    <row r="111" spans="1:81" ht="13" thickBot="1">
      <c r="A111" s="175"/>
      <c r="B111" s="23"/>
      <c r="C111" s="84"/>
      <c r="D111" s="100"/>
      <c r="E111" s="98"/>
      <c r="F111" s="84"/>
      <c r="G111" s="127"/>
      <c r="H111" s="180"/>
      <c r="I111" s="84"/>
      <c r="J111" s="92"/>
      <c r="K111" s="84"/>
      <c r="L111" s="100"/>
      <c r="M111" s="84"/>
      <c r="N111" s="98"/>
      <c r="O111" s="84"/>
      <c r="P111" s="117"/>
      <c r="Q111" s="84"/>
      <c r="R111" s="143"/>
      <c r="S111" s="197"/>
      <c r="T111" s="205"/>
      <c r="U111" s="206"/>
      <c r="V111" s="207"/>
      <c r="W111" s="208"/>
      <c r="X111" s="209"/>
      <c r="Y111" s="217"/>
      <c r="Z111" s="131"/>
      <c r="AA111" s="163"/>
      <c r="AB111" s="160"/>
      <c r="AC111" s="172"/>
      <c r="AD111" s="173"/>
      <c r="AE111" s="131" t="s">
        <v>170</v>
      </c>
      <c r="AF111" s="163" t="s">
        <v>444</v>
      </c>
      <c r="AG111" s="160">
        <v>-13</v>
      </c>
      <c r="AH111" s="164">
        <v>0.6486486486486487</v>
      </c>
      <c r="AI111" s="162">
        <v>30</v>
      </c>
      <c r="AJ111" s="1" t="s">
        <v>170</v>
      </c>
      <c r="AK111" s="163" t="s">
        <v>444</v>
      </c>
      <c r="AL111" s="160">
        <v>-13</v>
      </c>
      <c r="AM111" s="161">
        <v>0.6486486486486487</v>
      </c>
      <c r="AN111" s="162">
        <v>30</v>
      </c>
      <c r="AP111" s="39"/>
      <c r="AQ111" s="40"/>
      <c r="AR111" s="120"/>
      <c r="BY111" s="83" t="e">
        <f t="shared" si="12"/>
        <v>#DIV/0!</v>
      </c>
      <c r="CC111" s="86"/>
    </row>
    <row r="112" spans="1:81" ht="11.25">
      <c r="A112" s="175"/>
      <c r="S112" s="197"/>
      <c r="T112" s="213"/>
      <c r="U112" s="175"/>
      <c r="V112" s="207"/>
      <c r="W112" s="175"/>
      <c r="X112" s="175"/>
      <c r="Y112" s="175"/>
      <c r="BY112" s="83" t="e">
        <f t="shared" si="12"/>
        <v>#DIV/0!</v>
      </c>
      <c r="CC112" s="86"/>
    </row>
    <row r="113" spans="1:81" ht="11.25">
      <c r="A113" s="175"/>
      <c r="S113" s="197"/>
      <c r="T113" s="213"/>
      <c r="U113" s="175"/>
      <c r="V113" s="207"/>
      <c r="W113" s="175"/>
      <c r="X113" s="175"/>
      <c r="Y113" s="175"/>
      <c r="BY113" s="83" t="e">
        <f t="shared" si="12"/>
        <v>#DIV/0!</v>
      </c>
      <c r="CC113" s="86"/>
    </row>
    <row r="114" spans="1:89" ht="13" thickBot="1">
      <c r="A114" s="175" t="s">
        <v>171</v>
      </c>
      <c r="B114" s="38">
        <f>Sociology!$G$57</f>
        <v>0</v>
      </c>
      <c r="C114" s="84">
        <f>Sociology!$G$58</f>
        <v>0</v>
      </c>
      <c r="D114" s="100">
        <f>Sociology!$G$55</f>
        <v>25</v>
      </c>
      <c r="E114" s="98">
        <f>Sociology!$G$54</f>
        <v>51</v>
      </c>
      <c r="F114" s="84">
        <f>E114/D114</f>
        <v>2.04</v>
      </c>
      <c r="G114" s="93">
        <f>Sociology!$G$53</f>
        <v>14</v>
      </c>
      <c r="H114" s="141">
        <f>Sociology!$G$33</f>
        <v>3.9</v>
      </c>
      <c r="I114" s="84">
        <f>(H114/(H114+J114+L114+N114))</f>
        <v>0.6902654867256637</v>
      </c>
      <c r="J114" s="92">
        <f>Sociology!$G$34</f>
        <v>1</v>
      </c>
      <c r="K114" s="84">
        <f>(J114/(H114+J114+L114+N114))</f>
        <v>0.17699115044247787</v>
      </c>
      <c r="L114" s="100">
        <f>Sociology!$G$35</f>
        <v>0.75</v>
      </c>
      <c r="M114" s="84">
        <f>(L114/(H114+J114+L114+N114))</f>
        <v>0.1327433628318584</v>
      </c>
      <c r="N114" s="98">
        <f>Sociology!$G$36</f>
        <v>0</v>
      </c>
      <c r="O114" s="84">
        <f>(N114/(H114+J114+L114+N114))</f>
        <v>0</v>
      </c>
      <c r="P114" s="117">
        <f>Sociology!$G$44</f>
        <v>1257.8761061946902</v>
      </c>
      <c r="Q114" s="84">
        <v>0.8311308618874986</v>
      </c>
      <c r="R114" s="143" t="s">
        <v>459</v>
      </c>
      <c r="S114" s="197"/>
      <c r="T114" s="205">
        <v>81</v>
      </c>
      <c r="U114" s="206">
        <f t="shared" si="7"/>
        <v>962361</v>
      </c>
      <c r="V114" s="207"/>
      <c r="W114" s="208">
        <v>11881</v>
      </c>
      <c r="X114" s="209"/>
      <c r="Y114" s="218">
        <v>-0.0860769230769231</v>
      </c>
      <c r="Z114" s="131" t="s">
        <v>508</v>
      </c>
      <c r="AA114" s="163" t="s">
        <v>428</v>
      </c>
      <c r="AB114" s="160">
        <v>0</v>
      </c>
      <c r="AC114" s="172">
        <v>1</v>
      </c>
      <c r="AD114" s="173">
        <v>54.75</v>
      </c>
      <c r="AJ114" s="1" t="s">
        <v>508</v>
      </c>
      <c r="AK114" s="163" t="s">
        <v>428</v>
      </c>
      <c r="AL114" s="160">
        <v>0</v>
      </c>
      <c r="AM114" s="161">
        <v>1</v>
      </c>
      <c r="AN114" s="162">
        <v>54.75</v>
      </c>
      <c r="AP114" s="1" t="s">
        <v>520</v>
      </c>
      <c r="AQ114" s="1" t="s">
        <v>434</v>
      </c>
      <c r="AR114" s="186">
        <v>25</v>
      </c>
      <c r="BU114" s="1" t="s">
        <v>434</v>
      </c>
      <c r="BW114" s="1">
        <v>1</v>
      </c>
      <c r="BX114" s="1">
        <v>5</v>
      </c>
      <c r="BY114" s="83">
        <f t="shared" si="12"/>
        <v>0.2</v>
      </c>
      <c r="CA114" s="1">
        <v>2</v>
      </c>
      <c r="CB114" s="1">
        <v>8</v>
      </c>
      <c r="CC114" s="86">
        <f>CA114/CB114</f>
        <v>0.25</v>
      </c>
      <c r="CD114" s="142">
        <f>SUM(Sociology!G27:G29)</f>
        <v>576528.8899999999</v>
      </c>
      <c r="CG114" s="1">
        <v>1</v>
      </c>
      <c r="CH114" s="1">
        <v>4</v>
      </c>
      <c r="CJ114" s="1">
        <v>1</v>
      </c>
      <c r="CK114" s="1">
        <v>4</v>
      </c>
    </row>
    <row r="115" spans="1:89" ht="13" thickBot="1">
      <c r="A115" s="175" t="s">
        <v>446</v>
      </c>
      <c r="B115" s="38">
        <f>'Course Summary Sheet'!B42</f>
        <v>0</v>
      </c>
      <c r="C115" s="84">
        <f>'Course Summary Sheet'!C42</f>
        <v>0.147</v>
      </c>
      <c r="D115" s="100">
        <f>'Course Summary Sheet'!D42</f>
        <v>11.5</v>
      </c>
      <c r="E115" s="98">
        <f>'Course Summary Sheet'!E42</f>
        <v>14</v>
      </c>
      <c r="F115" s="84">
        <f>'Course Summary Sheet'!F42</f>
        <v>1.2173913043478262</v>
      </c>
      <c r="G115" s="93">
        <f>'Course Summary Sheet'!G42</f>
        <v>5</v>
      </c>
      <c r="H115" s="141">
        <f>'Faculty Summary Sheet'!B41</f>
        <v>0.7</v>
      </c>
      <c r="I115" s="84">
        <f>'Faculty Summary Sheet'!C41</f>
        <v>0.18421052631578946</v>
      </c>
      <c r="J115" s="92">
        <f>'Faculty Summary Sheet'!D41</f>
        <v>3.1</v>
      </c>
      <c r="K115" s="84">
        <f>'Faculty Summary Sheet'!E41</f>
        <v>0.8157894736842106</v>
      </c>
      <c r="L115" s="100">
        <f>'Faculty Summary Sheet'!F41</f>
        <v>0</v>
      </c>
      <c r="M115" s="84">
        <f>'Faculty Summary Sheet'!G41</f>
        <v>0</v>
      </c>
      <c r="N115" s="98">
        <f>'Faculty Summary Sheet'!H41</f>
        <v>0</v>
      </c>
      <c r="O115" s="84">
        <f>'Faculty Summary Sheet'!I41</f>
        <v>0</v>
      </c>
      <c r="P115" s="117">
        <f>'Faculty Summary Sheet'!J41</f>
        <v>620.5263157894738</v>
      </c>
      <c r="Q115" s="84">
        <f>'Faculty Summary Sheet'!K41</f>
        <v>1.1410435228146083</v>
      </c>
      <c r="R115" s="143" t="s">
        <v>446</v>
      </c>
      <c r="S115" s="197"/>
      <c r="T115" s="205">
        <f>Theatre!G31</f>
        <v>157.26554707379134</v>
      </c>
      <c r="U115" s="206"/>
      <c r="V115" s="207"/>
      <c r="W115" s="208">
        <v>2358</v>
      </c>
      <c r="X115" s="209"/>
      <c r="Y115" s="217">
        <v>0.275</v>
      </c>
      <c r="Z115" s="131" t="s">
        <v>510</v>
      </c>
      <c r="AA115" s="163" t="s">
        <v>460</v>
      </c>
      <c r="AB115" s="160">
        <v>4</v>
      </c>
      <c r="AC115" s="172">
        <v>1.1904761904761905</v>
      </c>
      <c r="AD115" s="173">
        <v>23.75</v>
      </c>
      <c r="AJ115" s="1" t="s">
        <v>510</v>
      </c>
      <c r="AK115" s="163" t="s">
        <v>460</v>
      </c>
      <c r="AL115" s="160">
        <v>4</v>
      </c>
      <c r="AM115" s="161">
        <v>1.1904761904761905</v>
      </c>
      <c r="AN115" s="162">
        <v>23.75</v>
      </c>
      <c r="AP115" s="188" t="s">
        <v>440</v>
      </c>
      <c r="AQ115" s="183" t="s">
        <v>446</v>
      </c>
      <c r="AR115" s="186">
        <v>8</v>
      </c>
      <c r="BU115" s="1" t="s">
        <v>446</v>
      </c>
      <c r="BW115" s="1">
        <v>0</v>
      </c>
      <c r="BX115" s="1">
        <v>5</v>
      </c>
      <c r="BY115" s="83">
        <f t="shared" si="12"/>
        <v>0</v>
      </c>
      <c r="CA115" s="1">
        <v>1</v>
      </c>
      <c r="CB115" s="1">
        <v>8</v>
      </c>
      <c r="CC115" s="86">
        <f aca="true" t="shared" si="14" ref="CC115:CC117">CA115/CB115</f>
        <v>0.125</v>
      </c>
      <c r="CD115" s="142">
        <f>SUM(Theatre!G27:H29)</f>
        <v>370832.16</v>
      </c>
      <c r="CG115" s="1">
        <v>1</v>
      </c>
      <c r="CH115" s="1">
        <v>4</v>
      </c>
      <c r="CJ115" s="1">
        <v>0</v>
      </c>
      <c r="CK115" s="1">
        <v>4</v>
      </c>
    </row>
    <row r="116" spans="1:89" ht="13" thickBot="1">
      <c r="A116" s="175" t="s">
        <v>196</v>
      </c>
      <c r="B116" s="38">
        <f>Film!$G$57</f>
        <v>0</v>
      </c>
      <c r="C116" s="84">
        <f>Film!$G$58</f>
        <v>0</v>
      </c>
      <c r="D116" s="100">
        <f>Film!$G$55</f>
        <v>11.5</v>
      </c>
      <c r="E116" s="98">
        <f>Film!$G$54</f>
        <v>28</v>
      </c>
      <c r="F116" s="84">
        <f>E116/D116</f>
        <v>2.4347826086956523</v>
      </c>
      <c r="G116" s="93">
        <f>Film!$G$53</f>
        <v>13</v>
      </c>
      <c r="H116" s="141">
        <f>Film!$G$33</f>
        <v>1.8</v>
      </c>
      <c r="I116" s="84">
        <f>(H116/(H116+J116+L116+N116))</f>
        <v>0.4390243902439024</v>
      </c>
      <c r="J116" s="92">
        <f>Film!$G$34</f>
        <v>1.1</v>
      </c>
      <c r="K116" s="84">
        <f>(J116/(H116+J116+L116+N116))</f>
        <v>0.26829268292682923</v>
      </c>
      <c r="L116" s="100">
        <f>Film!$G$35</f>
        <v>1.2</v>
      </c>
      <c r="M116" s="84">
        <f>(L116/(H116+J116+L116+N116))</f>
        <v>0.2926829268292682</v>
      </c>
      <c r="N116" s="98">
        <f>Film!$G$36</f>
        <v>0</v>
      </c>
      <c r="O116" s="84">
        <f>(N116/(H116+J116+L116+N116))</f>
        <v>0</v>
      </c>
      <c r="P116" s="117">
        <f>Film!$G$44</f>
        <v>1149.7560975609754</v>
      </c>
      <c r="Q116" s="84">
        <v>1.056437455645613</v>
      </c>
      <c r="R116" s="143" t="s">
        <v>196</v>
      </c>
      <c r="S116" s="197"/>
      <c r="T116" s="205">
        <f>Film!G31</f>
        <v>94.25955663979633</v>
      </c>
      <c r="U116" s="206">
        <f>W116*T116</f>
        <v>444339.5499999999</v>
      </c>
      <c r="V116" s="207"/>
      <c r="W116" s="208">
        <f>Film!G11</f>
        <v>4714</v>
      </c>
      <c r="X116" s="209"/>
      <c r="Y116" s="217">
        <v>0.031</v>
      </c>
      <c r="Z116" s="131" t="s">
        <v>498</v>
      </c>
      <c r="AA116" s="163" t="s">
        <v>452</v>
      </c>
      <c r="AB116" s="160">
        <v>6</v>
      </c>
      <c r="AC116" s="161">
        <v>1.146341463414634</v>
      </c>
      <c r="AD116" s="162">
        <v>47.5</v>
      </c>
      <c r="AJ116" s="1" t="s">
        <v>498</v>
      </c>
      <c r="AK116" s="163" t="s">
        <v>452</v>
      </c>
      <c r="AL116" s="160">
        <v>6</v>
      </c>
      <c r="AM116" s="161">
        <v>1.146341463414634</v>
      </c>
      <c r="AN116" s="162">
        <v>47.5</v>
      </c>
      <c r="AP116" s="82" t="s">
        <v>440</v>
      </c>
      <c r="AQ116" s="189" t="s">
        <v>196</v>
      </c>
      <c r="AR116" s="186">
        <v>16</v>
      </c>
      <c r="BU116" s="1" t="s">
        <v>196</v>
      </c>
      <c r="BW116" s="1">
        <v>0</v>
      </c>
      <c r="BX116" s="1">
        <v>5</v>
      </c>
      <c r="BY116" s="83">
        <f t="shared" si="12"/>
        <v>0</v>
      </c>
      <c r="CA116" s="1">
        <v>1</v>
      </c>
      <c r="CB116" s="1">
        <v>8</v>
      </c>
      <c r="CC116" s="86">
        <f t="shared" si="14"/>
        <v>0.125</v>
      </c>
      <c r="CD116" s="142">
        <f>SUM(Film!G27:H29)</f>
        <v>444339.54999999993</v>
      </c>
      <c r="CG116" s="1">
        <v>1</v>
      </c>
      <c r="CH116" s="1">
        <v>4</v>
      </c>
      <c r="CJ116" s="1">
        <v>0</v>
      </c>
      <c r="CK116" s="1">
        <v>4</v>
      </c>
    </row>
    <row r="117" spans="1:89" ht="12.25">
      <c r="A117" s="175" t="s">
        <v>177</v>
      </c>
      <c r="B117" s="38">
        <f>WAMS!$G$57</f>
        <v>80</v>
      </c>
      <c r="C117" s="84">
        <f>WAMS!$G$58</f>
        <v>0.325</v>
      </c>
      <c r="D117" s="100">
        <f>WAMS!$G$55</f>
        <v>17.2</v>
      </c>
      <c r="E117" s="98">
        <f>WAMS!$G$54</f>
        <v>16</v>
      </c>
      <c r="F117" s="84">
        <f>E117/D117</f>
        <v>0.9302325581395349</v>
      </c>
      <c r="G117" s="93">
        <f>WAMS!$G$53</f>
        <v>41</v>
      </c>
      <c r="H117" s="141">
        <f>WAMS!$G$33</f>
        <v>11.8</v>
      </c>
      <c r="I117" s="84">
        <f>(H117/(H117+J117+L117+N117))</f>
        <v>0.627659574468085</v>
      </c>
      <c r="J117" s="92">
        <f>WAMS!$G$34</f>
        <v>3.8</v>
      </c>
      <c r="K117" s="84">
        <f>(J117/(H117+J117+L117+N117))</f>
        <v>0.20212765957446802</v>
      </c>
      <c r="L117" s="100">
        <f>WAMS!$G$35</f>
        <v>2.6</v>
      </c>
      <c r="M117" s="84">
        <f>(L117/(H117+J117+L117+N117))</f>
        <v>0.1382978723404255</v>
      </c>
      <c r="N117" s="98">
        <f>WAMS!$G$36</f>
        <v>0.6</v>
      </c>
      <c r="O117" s="84">
        <f>(N117/(H117+J117+L117+N117))</f>
        <v>0.03191489361702127</v>
      </c>
      <c r="P117" s="117">
        <f>WAMS!$G$44</f>
        <v>1386.010638297872</v>
      </c>
      <c r="Q117" s="84">
        <v>0.9899354460548898</v>
      </c>
      <c r="R117" s="143" t="s">
        <v>383</v>
      </c>
      <c r="S117" s="197"/>
      <c r="T117" s="205">
        <v>89</v>
      </c>
      <c r="U117" s="206">
        <f t="shared" si="7"/>
        <v>2319073</v>
      </c>
      <c r="V117" s="207"/>
      <c r="W117" s="208">
        <v>26057</v>
      </c>
      <c r="X117" s="209"/>
      <c r="Y117" s="218">
        <v>-0.0505392799883398</v>
      </c>
      <c r="Z117" s="131" t="s">
        <v>177</v>
      </c>
      <c r="AA117" s="163" t="s">
        <v>262</v>
      </c>
      <c r="AB117" s="160">
        <v>-34</v>
      </c>
      <c r="AC117" s="161">
        <v>0.20930232558139536</v>
      </c>
      <c r="AD117" s="162">
        <v>25.75</v>
      </c>
      <c r="AE117" s="131" t="s">
        <v>177</v>
      </c>
      <c r="AF117" s="163" t="s">
        <v>262</v>
      </c>
      <c r="AG117" s="160">
        <v>12</v>
      </c>
      <c r="AH117" s="164" t="e">
        <v>#DIV/0!</v>
      </c>
      <c r="AI117" s="162">
        <v>4.25</v>
      </c>
      <c r="AJ117" s="131" t="s">
        <v>177</v>
      </c>
      <c r="AK117" s="163" t="s">
        <v>262</v>
      </c>
      <c r="AL117" s="160">
        <v>-22</v>
      </c>
      <c r="AM117" s="161">
        <v>0.4883720930232558</v>
      </c>
      <c r="AN117" s="162">
        <v>30</v>
      </c>
      <c r="AP117" s="1" t="s">
        <v>383</v>
      </c>
      <c r="AQ117" s="1" t="s">
        <v>451</v>
      </c>
      <c r="AR117" s="184">
        <v>11.333333333333334</v>
      </c>
      <c r="BU117" s="1" t="s">
        <v>177</v>
      </c>
      <c r="BW117" s="1">
        <v>4</v>
      </c>
      <c r="BX117" s="1">
        <v>6</v>
      </c>
      <c r="BY117" s="83">
        <f t="shared" si="12"/>
        <v>0.6666666666666666</v>
      </c>
      <c r="CA117" s="1">
        <v>8</v>
      </c>
      <c r="CB117" s="1">
        <v>10</v>
      </c>
      <c r="CC117" s="86">
        <f t="shared" si="14"/>
        <v>0.8</v>
      </c>
      <c r="CD117" s="142">
        <f>SUM(WAMS!G27:H29)</f>
        <v>2310459.2199999997</v>
      </c>
      <c r="CG117" s="1">
        <v>4</v>
      </c>
      <c r="CH117" s="1">
        <v>6</v>
      </c>
      <c r="CJ117" s="1">
        <v>4</v>
      </c>
      <c r="CK117" s="1">
        <v>4</v>
      </c>
    </row>
    <row r="118" spans="1:44" ht="12.25">
      <c r="A118" s="175"/>
      <c r="C118" s="1"/>
      <c r="D118" s="1"/>
      <c r="E118" s="1"/>
      <c r="F118" s="1"/>
      <c r="G118" s="1"/>
      <c r="R118" s="131"/>
      <c r="S118" s="131"/>
      <c r="T118" s="198"/>
      <c r="U118" s="154">
        <f>SUM(U8:U117)</f>
        <v>41025832.39326552</v>
      </c>
      <c r="V118" s="154"/>
      <c r="W118" s="131"/>
      <c r="X118" s="131"/>
      <c r="Y118" s="131"/>
      <c r="Z118" s="131" t="s">
        <v>177</v>
      </c>
      <c r="AA118" s="163" t="s">
        <v>305</v>
      </c>
      <c r="AB118" s="160">
        <v>0</v>
      </c>
      <c r="AC118" s="161" t="e">
        <v>#DIV/0!</v>
      </c>
      <c r="AD118" s="162">
        <v>0</v>
      </c>
      <c r="AJ118" s="131" t="s">
        <v>177</v>
      </c>
      <c r="AK118" s="163" t="s">
        <v>305</v>
      </c>
      <c r="AL118" s="160">
        <v>0</v>
      </c>
      <c r="AM118" s="161" t="e">
        <v>#DIV/0!</v>
      </c>
      <c r="AN118" s="162">
        <v>0</v>
      </c>
      <c r="AR118" s="184"/>
    </row>
    <row r="119" spans="1:44" ht="12.25">
      <c r="A119" s="175"/>
      <c r="C119" s="1"/>
      <c r="D119" s="1"/>
      <c r="E119" s="1"/>
      <c r="F119" s="1"/>
      <c r="G119" s="1"/>
      <c r="R119" s="194" t="s">
        <v>470</v>
      </c>
      <c r="S119" s="194"/>
      <c r="T119" s="198"/>
      <c r="U119" s="131"/>
      <c r="V119" s="131"/>
      <c r="W119" s="131"/>
      <c r="X119" s="131"/>
      <c r="Y119" s="131"/>
      <c r="Z119" s="131" t="s">
        <v>177</v>
      </c>
      <c r="AA119" s="163" t="s">
        <v>349</v>
      </c>
      <c r="AB119" s="160">
        <v>-18</v>
      </c>
      <c r="AC119" s="161">
        <v>0</v>
      </c>
      <c r="AD119" s="162">
        <v>6</v>
      </c>
      <c r="AJ119" s="131" t="s">
        <v>177</v>
      </c>
      <c r="AK119" s="163" t="s">
        <v>349</v>
      </c>
      <c r="AL119" s="160">
        <v>-18</v>
      </c>
      <c r="AM119" s="161">
        <v>0</v>
      </c>
      <c r="AN119" s="162">
        <v>6</v>
      </c>
      <c r="AP119" s="1" t="s">
        <v>383</v>
      </c>
      <c r="AQ119" s="1" t="s">
        <v>455</v>
      </c>
      <c r="AR119" s="184">
        <v>5</v>
      </c>
    </row>
    <row r="120" spans="1:44" ht="12.25">
      <c r="A120" s="175"/>
      <c r="C120" s="1"/>
      <c r="D120" s="1"/>
      <c r="E120" s="1"/>
      <c r="F120" s="1"/>
      <c r="G120" s="1"/>
      <c r="R120" s="195" t="s">
        <v>543</v>
      </c>
      <c r="S120" s="195"/>
      <c r="T120" s="198"/>
      <c r="U120" s="131"/>
      <c r="V120" s="131"/>
      <c r="W120" s="131"/>
      <c r="X120" s="131"/>
      <c r="Y120" s="131"/>
      <c r="Z120" s="131" t="s">
        <v>177</v>
      </c>
      <c r="AA120" s="163" t="s">
        <v>448</v>
      </c>
      <c r="AB120" s="160">
        <v>21</v>
      </c>
      <c r="AC120" s="161">
        <v>1.1071428571428572</v>
      </c>
      <c r="AD120" s="162">
        <v>213.75</v>
      </c>
      <c r="AJ120" s="1" t="s">
        <v>177</v>
      </c>
      <c r="AK120" s="163" t="s">
        <v>448</v>
      </c>
      <c r="AL120" s="160">
        <v>21</v>
      </c>
      <c r="AM120" s="161">
        <v>1.1071428571428572</v>
      </c>
      <c r="AN120" s="162">
        <v>213.75</v>
      </c>
      <c r="AP120" s="1" t="s">
        <v>383</v>
      </c>
      <c r="AQ120" s="1" t="s">
        <v>458</v>
      </c>
      <c r="AR120" s="184">
        <v>91.66666666666667</v>
      </c>
    </row>
    <row r="121" spans="1:44" ht="12.25">
      <c r="A121" s="175"/>
      <c r="C121" s="1"/>
      <c r="D121" s="1"/>
      <c r="E121" s="1"/>
      <c r="F121" s="1"/>
      <c r="G121" s="1"/>
      <c r="R121" s="155" t="s">
        <v>592</v>
      </c>
      <c r="S121" s="155"/>
      <c r="T121" s="198"/>
      <c r="U121" s="131"/>
      <c r="V121" s="131"/>
      <c r="W121" s="131"/>
      <c r="X121" s="131"/>
      <c r="Y121" s="131"/>
      <c r="Z121" s="131" t="s">
        <v>177</v>
      </c>
      <c r="AA121" s="163" t="s">
        <v>468</v>
      </c>
      <c r="AB121" s="160">
        <v>9</v>
      </c>
      <c r="AC121" s="161">
        <v>1.1914893617021276</v>
      </c>
      <c r="AD121" s="162">
        <v>50</v>
      </c>
      <c r="AE121" s="131"/>
      <c r="AF121" s="159"/>
      <c r="AG121" s="160"/>
      <c r="AH121" s="164"/>
      <c r="AI121" s="162"/>
      <c r="AJ121" s="1" t="s">
        <v>177</v>
      </c>
      <c r="AK121" s="163" t="s">
        <v>468</v>
      </c>
      <c r="AL121" s="160">
        <v>9</v>
      </c>
      <c r="AM121" s="161">
        <v>1.1914893617021276</v>
      </c>
      <c r="AN121" s="162">
        <v>50</v>
      </c>
      <c r="AP121" s="1" t="s">
        <v>383</v>
      </c>
      <c r="AQ121" s="1" t="s">
        <v>462</v>
      </c>
      <c r="AR121" s="184">
        <v>9.666666666666666</v>
      </c>
    </row>
    <row r="122" spans="1:44" ht="12.25">
      <c r="A122" s="175"/>
      <c r="C122" s="1"/>
      <c r="D122" s="1"/>
      <c r="E122" s="1"/>
      <c r="F122" s="1"/>
      <c r="G122" s="1"/>
      <c r="R122" s="156" t="s">
        <v>570</v>
      </c>
      <c r="S122" s="156"/>
      <c r="T122" s="198"/>
      <c r="U122" s="131"/>
      <c r="V122" s="131"/>
      <c r="W122" s="131"/>
      <c r="X122" s="131"/>
      <c r="Y122" s="131"/>
      <c r="Z122" s="131" t="s">
        <v>177</v>
      </c>
      <c r="AA122" s="163" t="s">
        <v>471</v>
      </c>
      <c r="AB122" s="160">
        <v>5</v>
      </c>
      <c r="AC122" s="161" t="e">
        <v>#DIV/0!</v>
      </c>
      <c r="AD122" s="162">
        <v>1.25</v>
      </c>
      <c r="AE122" s="131" t="s">
        <v>177</v>
      </c>
      <c r="AF122" s="163" t="s">
        <v>380</v>
      </c>
      <c r="AG122" s="160">
        <v>7</v>
      </c>
      <c r="AH122" s="164">
        <v>1.35</v>
      </c>
      <c r="AI122" s="162">
        <v>21.75</v>
      </c>
      <c r="AJ122" s="1" t="s">
        <v>177</v>
      </c>
      <c r="AK122" s="163" t="s">
        <v>471</v>
      </c>
      <c r="AL122" s="160">
        <v>5</v>
      </c>
      <c r="AM122" s="161" t="e">
        <v>#DIV/0!</v>
      </c>
      <c r="AN122" s="162">
        <v>1.25</v>
      </c>
      <c r="AR122" s="184"/>
    </row>
    <row r="123" spans="1:44" ht="12.25">
      <c r="A123" s="175"/>
      <c r="C123" s="1"/>
      <c r="D123" s="1"/>
      <c r="E123" s="1"/>
      <c r="F123" s="1"/>
      <c r="G123" s="1"/>
      <c r="R123" s="204" t="s">
        <v>544</v>
      </c>
      <c r="S123" s="204"/>
      <c r="T123" s="198"/>
      <c r="U123" s="131"/>
      <c r="V123" s="131"/>
      <c r="W123" s="131"/>
      <c r="X123" s="131"/>
      <c r="Y123" s="131"/>
      <c r="Z123" s="131"/>
      <c r="AA123" s="163"/>
      <c r="AB123" s="160"/>
      <c r="AC123" s="196"/>
      <c r="AD123" s="162"/>
      <c r="AE123" s="131" t="s">
        <v>177</v>
      </c>
      <c r="AF123" s="163" t="s">
        <v>376</v>
      </c>
      <c r="AG123" s="160">
        <v>1</v>
      </c>
      <c r="AH123" s="164" t="e">
        <v>#DIV/0!</v>
      </c>
      <c r="AI123" s="162">
        <v>0.25</v>
      </c>
      <c r="AJ123" s="1" t="s">
        <v>177</v>
      </c>
      <c r="AK123" s="163" t="s">
        <v>376</v>
      </c>
      <c r="AL123" s="160">
        <v>1</v>
      </c>
      <c r="AM123" s="161" t="e">
        <v>#DIV/0!</v>
      </c>
      <c r="AN123" s="162">
        <v>0.25</v>
      </c>
      <c r="AR123" s="184"/>
    </row>
    <row r="124" spans="1:44" ht="13" thickBot="1">
      <c r="A124" s="175"/>
      <c r="C124" s="1"/>
      <c r="D124" s="1"/>
      <c r="E124" s="1"/>
      <c r="F124" s="1"/>
      <c r="G124" s="1"/>
      <c r="T124" s="198"/>
      <c r="U124" s="131"/>
      <c r="V124" s="131"/>
      <c r="W124" s="131"/>
      <c r="X124" s="131"/>
      <c r="Y124" s="131"/>
      <c r="Z124" s="131" t="s">
        <v>177</v>
      </c>
      <c r="AA124" s="163" t="s">
        <v>350</v>
      </c>
      <c r="AB124" s="160">
        <v>0</v>
      </c>
      <c r="AC124" s="172" t="e">
        <f>AA124/W176</f>
        <v>#VALUE!</v>
      </c>
      <c r="AD124" s="173">
        <v>22</v>
      </c>
      <c r="AE124" s="131"/>
      <c r="AJ124" s="1" t="s">
        <v>177</v>
      </c>
      <c r="AK124" s="163" t="s">
        <v>350</v>
      </c>
      <c r="AL124" s="160">
        <v>13</v>
      </c>
      <c r="AM124" s="161" t="e">
        <v>#DIV/0!</v>
      </c>
      <c r="AN124" s="162">
        <v>3.25</v>
      </c>
      <c r="AP124" s="1" t="s">
        <v>383</v>
      </c>
      <c r="AQ124" s="1" t="s">
        <v>465</v>
      </c>
      <c r="AR124" s="184">
        <v>8.666666666666666</v>
      </c>
    </row>
    <row r="125" spans="1:48" ht="13" thickBot="1">
      <c r="A125" s="175"/>
      <c r="C125" s="1"/>
      <c r="D125" s="1"/>
      <c r="E125" s="1"/>
      <c r="F125" s="1"/>
      <c r="G125" s="1"/>
      <c r="R125" s="131"/>
      <c r="S125" s="131"/>
      <c r="T125" s="198"/>
      <c r="U125" s="131"/>
      <c r="V125" s="131"/>
      <c r="W125" s="131"/>
      <c r="X125" s="131"/>
      <c r="Y125" s="131"/>
      <c r="Z125" s="131" t="s">
        <v>177</v>
      </c>
      <c r="AA125" s="163" t="s">
        <v>402</v>
      </c>
      <c r="AB125" s="160">
        <v>16</v>
      </c>
      <c r="AC125" s="172">
        <v>3.6666666666666665</v>
      </c>
      <c r="AD125" s="173">
        <v>15.25</v>
      </c>
      <c r="AE125" s="131"/>
      <c r="AJ125" s="1" t="s">
        <v>177</v>
      </c>
      <c r="AK125" s="163" t="s">
        <v>380</v>
      </c>
      <c r="AL125" s="160">
        <v>7</v>
      </c>
      <c r="AM125" s="161">
        <v>1.35</v>
      </c>
      <c r="AN125" s="162">
        <v>21.75</v>
      </c>
      <c r="AR125" s="184"/>
      <c r="AT125" s="165" t="s">
        <v>383</v>
      </c>
      <c r="AU125" s="166" t="s">
        <v>384</v>
      </c>
      <c r="AV125" s="167">
        <v>6.666666666666667</v>
      </c>
    </row>
    <row r="126" spans="1:44" ht="12.25">
      <c r="A126" s="175"/>
      <c r="C126" s="1"/>
      <c r="D126" s="1"/>
      <c r="E126" s="1"/>
      <c r="F126" s="1"/>
      <c r="G126" s="1"/>
      <c r="R126" s="131"/>
      <c r="S126" s="131"/>
      <c r="T126" s="198"/>
      <c r="U126" s="131"/>
      <c r="V126" s="131"/>
      <c r="W126" s="131"/>
      <c r="X126" s="131"/>
      <c r="Y126" s="131"/>
      <c r="Z126" s="131" t="s">
        <v>177</v>
      </c>
      <c r="AA126" s="163" t="s">
        <v>414</v>
      </c>
      <c r="AB126" s="160">
        <v>-21</v>
      </c>
      <c r="AC126" s="172">
        <v>0.58</v>
      </c>
      <c r="AD126" s="173">
        <v>33</v>
      </c>
      <c r="AE126" s="131"/>
      <c r="AJ126" s="1" t="s">
        <v>177</v>
      </c>
      <c r="AK126" s="163" t="s">
        <v>402</v>
      </c>
      <c r="AL126" s="160">
        <v>16</v>
      </c>
      <c r="AM126" s="161">
        <v>3.6666666666666665</v>
      </c>
      <c r="AN126" s="162">
        <v>15.25</v>
      </c>
      <c r="AP126" s="1" t="s">
        <v>383</v>
      </c>
      <c r="AQ126" s="1" t="s">
        <v>359</v>
      </c>
      <c r="AR126" s="184">
        <v>7.333333333333333</v>
      </c>
    </row>
    <row r="127" spans="1:44" ht="12.25">
      <c r="A127" s="203" t="s">
        <v>521</v>
      </c>
      <c r="B127" s="202" t="s">
        <v>522</v>
      </c>
      <c r="C127" s="1"/>
      <c r="D127" s="1"/>
      <c r="E127" s="1"/>
      <c r="F127" s="1"/>
      <c r="G127" s="1"/>
      <c r="R127" s="131"/>
      <c r="S127" s="131"/>
      <c r="T127" s="198"/>
      <c r="U127" s="131"/>
      <c r="V127" s="131"/>
      <c r="W127" s="131"/>
      <c r="X127" s="131"/>
      <c r="Y127" s="131"/>
      <c r="Z127" s="131" t="s">
        <v>177</v>
      </c>
      <c r="AA127" s="163" t="s">
        <v>463</v>
      </c>
      <c r="AB127" s="160">
        <v>-28</v>
      </c>
      <c r="AC127" s="172">
        <v>0.4166666666666667</v>
      </c>
      <c r="AD127" s="173">
        <v>34</v>
      </c>
      <c r="AJ127" s="1" t="s">
        <v>177</v>
      </c>
      <c r="AK127" s="163" t="s">
        <v>414</v>
      </c>
      <c r="AL127" s="160">
        <v>-2</v>
      </c>
      <c r="AM127" s="161">
        <v>0.9354838709677419</v>
      </c>
      <c r="AN127" s="162">
        <v>31.75</v>
      </c>
      <c r="AP127" s="1" t="s">
        <v>383</v>
      </c>
      <c r="AQ127" s="1" t="s">
        <v>469</v>
      </c>
      <c r="AR127" s="184">
        <v>18.666666666666668</v>
      </c>
    </row>
    <row r="128" spans="1:44" ht="12.25">
      <c r="A128" s="175" t="s">
        <v>420</v>
      </c>
      <c r="B128" s="1" t="s">
        <v>530</v>
      </c>
      <c r="C128" s="1"/>
      <c r="D128" s="1"/>
      <c r="E128" s="1"/>
      <c r="F128" s="1"/>
      <c r="G128" s="1"/>
      <c r="R128" s="131"/>
      <c r="S128" s="131"/>
      <c r="T128" s="198"/>
      <c r="U128" s="131"/>
      <c r="V128" s="131"/>
      <c r="W128" s="131"/>
      <c r="X128" s="131"/>
      <c r="Y128" s="131"/>
      <c r="Z128" s="131"/>
      <c r="AA128" s="131"/>
      <c r="AB128" s="131"/>
      <c r="AC128" s="131"/>
      <c r="AE128" s="131"/>
      <c r="AJ128" s="1" t="s">
        <v>177</v>
      </c>
      <c r="AK128" s="163" t="s">
        <v>463</v>
      </c>
      <c r="AL128" s="160">
        <v>-28</v>
      </c>
      <c r="AM128" s="161">
        <v>0.4166666666666667</v>
      </c>
      <c r="AN128" s="162">
        <v>34</v>
      </c>
      <c r="AP128" s="1" t="s">
        <v>383</v>
      </c>
      <c r="AQ128" s="1" t="s">
        <v>473</v>
      </c>
      <c r="AR128" s="184">
        <v>19.666666666666668</v>
      </c>
    </row>
    <row r="129" spans="1:40" ht="12.25">
      <c r="A129" s="175" t="s">
        <v>531</v>
      </c>
      <c r="B129" s="1" t="s">
        <v>532</v>
      </c>
      <c r="C129" s="1"/>
      <c r="D129" s="1"/>
      <c r="E129" s="1"/>
      <c r="F129" s="1"/>
      <c r="G129" s="1"/>
      <c r="R129" s="131"/>
      <c r="S129" s="131"/>
      <c r="T129" s="198"/>
      <c r="U129" s="131"/>
      <c r="V129" s="131"/>
      <c r="W129" s="131"/>
      <c r="X129" s="131"/>
      <c r="Y129" s="131"/>
      <c r="Z129" s="131"/>
      <c r="AA129" s="131"/>
      <c r="AB129" s="131"/>
      <c r="AC129" s="131"/>
      <c r="AE129" s="131"/>
      <c r="AJ129" s="131"/>
      <c r="AK129" s="159"/>
      <c r="AL129" s="160"/>
      <c r="AM129" s="161"/>
      <c r="AN129" s="162"/>
    </row>
    <row r="130" spans="1:31" ht="12.25">
      <c r="A130" s="175" t="s">
        <v>524</v>
      </c>
      <c r="B130" s="1" t="s">
        <v>525</v>
      </c>
      <c r="C130" s="1"/>
      <c r="D130" s="1"/>
      <c r="E130" s="1"/>
      <c r="F130" s="1"/>
      <c r="G130" s="1"/>
      <c r="R130" s="131"/>
      <c r="S130" s="131"/>
      <c r="T130" s="198"/>
      <c r="U130" s="131"/>
      <c r="V130" s="131"/>
      <c r="W130" s="131"/>
      <c r="X130" s="131"/>
      <c r="Y130" s="131"/>
      <c r="Z130" s="131"/>
      <c r="AA130" s="131"/>
      <c r="AB130" s="131"/>
      <c r="AC130" s="131"/>
      <c r="AE130" s="131"/>
    </row>
    <row r="131" spans="1:31" ht="12.25">
      <c r="A131" s="175" t="s">
        <v>430</v>
      </c>
      <c r="B131" s="1" t="s">
        <v>539</v>
      </c>
      <c r="C131" s="1"/>
      <c r="D131" s="1"/>
      <c r="E131" s="1"/>
      <c r="F131" s="1"/>
      <c r="G131" s="1"/>
      <c r="R131" s="131"/>
      <c r="S131" s="131"/>
      <c r="T131" s="198"/>
      <c r="U131" s="131"/>
      <c r="V131" s="131"/>
      <c r="W131" s="131"/>
      <c r="X131" s="131"/>
      <c r="Y131" s="131"/>
      <c r="Z131" s="131"/>
      <c r="AA131" s="131"/>
      <c r="AB131" s="131"/>
      <c r="AC131" s="131"/>
      <c r="AE131" s="131"/>
    </row>
    <row r="132" spans="1:31" ht="12.25">
      <c r="A132" s="175" t="s">
        <v>534</v>
      </c>
      <c r="B132" s="1" t="s">
        <v>536</v>
      </c>
      <c r="C132" s="1"/>
      <c r="D132" s="1"/>
      <c r="E132" s="1"/>
      <c r="F132" s="1"/>
      <c r="G132" s="1"/>
      <c r="R132" s="131"/>
      <c r="S132" s="131"/>
      <c r="T132" s="198"/>
      <c r="U132" s="131"/>
      <c r="V132" s="131"/>
      <c r="W132" s="131"/>
      <c r="X132" s="131"/>
      <c r="Y132" s="131"/>
      <c r="Z132" s="131"/>
      <c r="AA132" s="131"/>
      <c r="AB132" s="131"/>
      <c r="AC132" s="131"/>
      <c r="AE132" s="131"/>
    </row>
    <row r="133" spans="1:31" ht="12.25">
      <c r="A133" s="175" t="s">
        <v>526</v>
      </c>
      <c r="B133" s="1" t="s">
        <v>527</v>
      </c>
      <c r="C133" s="1"/>
      <c r="D133" s="1"/>
      <c r="E133" s="1"/>
      <c r="F133" s="1"/>
      <c r="G133" s="1"/>
      <c r="R133" s="131"/>
      <c r="S133" s="131"/>
      <c r="T133" s="198"/>
      <c r="U133" s="131"/>
      <c r="V133" s="131"/>
      <c r="W133" s="131"/>
      <c r="X133" s="131"/>
      <c r="Y133" s="131"/>
      <c r="Z133" s="131"/>
      <c r="AA133" s="131"/>
      <c r="AB133" s="131"/>
      <c r="AC133" s="131"/>
      <c r="AE133" s="131"/>
    </row>
    <row r="134" spans="1:31" ht="12.25">
      <c r="A134" s="175" t="s">
        <v>280</v>
      </c>
      <c r="B134" s="1" t="s">
        <v>571</v>
      </c>
      <c r="C134"/>
      <c r="D134"/>
      <c r="E134"/>
      <c r="F134"/>
      <c r="G134" s="1"/>
      <c r="R134" s="131"/>
      <c r="S134" s="131"/>
      <c r="T134" s="198"/>
      <c r="U134" s="131"/>
      <c r="V134" s="131"/>
      <c r="W134" s="131"/>
      <c r="X134" s="131"/>
      <c r="Y134" s="131"/>
      <c r="Z134" s="131"/>
      <c r="AA134" s="131"/>
      <c r="AB134" s="131"/>
      <c r="AC134" s="131"/>
      <c r="AE134" s="131"/>
    </row>
    <row r="135" spans="1:31" ht="12.25">
      <c r="A135" s="175" t="s">
        <v>240</v>
      </c>
      <c r="B135" s="1" t="s">
        <v>540</v>
      </c>
      <c r="C135" s="1"/>
      <c r="D135" s="1"/>
      <c r="E135" s="1"/>
      <c r="F135" s="1"/>
      <c r="G135" s="1"/>
      <c r="R135" s="131"/>
      <c r="S135" s="131"/>
      <c r="T135" s="198"/>
      <c r="U135" s="131"/>
      <c r="V135" s="131"/>
      <c r="W135" s="131"/>
      <c r="X135" s="131"/>
      <c r="Y135" s="131"/>
      <c r="Z135" s="131"/>
      <c r="AA135" s="131"/>
      <c r="AB135" s="131"/>
      <c r="AC135" s="131"/>
      <c r="AE135" s="131"/>
    </row>
    <row r="136" spans="1:31" ht="12.25">
      <c r="A136" s="175" t="s">
        <v>314</v>
      </c>
      <c r="B136" s="1" t="s">
        <v>541</v>
      </c>
      <c r="C136" s="1"/>
      <c r="D136" s="1"/>
      <c r="E136" s="1"/>
      <c r="F136" s="1"/>
      <c r="G136" s="1"/>
      <c r="R136" s="131"/>
      <c r="S136" s="131"/>
      <c r="T136" s="198"/>
      <c r="U136" s="131"/>
      <c r="V136" s="131"/>
      <c r="W136" s="131"/>
      <c r="X136" s="131"/>
      <c r="Y136" s="131"/>
      <c r="Z136" s="131"/>
      <c r="AA136" s="131"/>
      <c r="AB136" s="131"/>
      <c r="AC136" s="131"/>
      <c r="AE136" s="131"/>
    </row>
    <row r="137" spans="1:31" ht="12.25">
      <c r="A137" s="175" t="s">
        <v>353</v>
      </c>
      <c r="B137" s="1" t="s">
        <v>529</v>
      </c>
      <c r="C137" s="1"/>
      <c r="D137" s="1"/>
      <c r="E137" s="1"/>
      <c r="F137" s="1"/>
      <c r="G137" s="1"/>
      <c r="R137" s="131"/>
      <c r="S137" s="131"/>
      <c r="T137" s="198"/>
      <c r="U137" s="131"/>
      <c r="V137" s="131"/>
      <c r="W137" s="131"/>
      <c r="X137" s="131"/>
      <c r="Y137" s="131"/>
      <c r="Z137" s="131"/>
      <c r="AA137" s="131"/>
      <c r="AB137" s="131"/>
      <c r="AC137" s="131"/>
      <c r="AE137" s="131"/>
    </row>
    <row r="138" spans="1:31" ht="12.25">
      <c r="A138" s="175" t="s">
        <v>236</v>
      </c>
      <c r="B138" s="1" t="s">
        <v>523</v>
      </c>
      <c r="C138" s="1"/>
      <c r="D138" s="1"/>
      <c r="E138" s="1"/>
      <c r="F138" s="1"/>
      <c r="G138" s="1"/>
      <c r="R138" s="131"/>
      <c r="S138" s="131"/>
      <c r="T138" s="198"/>
      <c r="U138" s="131"/>
      <c r="V138" s="131"/>
      <c r="W138" s="131"/>
      <c r="X138" s="131"/>
      <c r="Y138" s="131"/>
      <c r="Z138" s="131"/>
      <c r="AA138" s="131"/>
      <c r="AB138" s="131"/>
      <c r="AC138" s="131"/>
      <c r="AE138" s="131"/>
    </row>
    <row r="139" spans="1:31" ht="12.25">
      <c r="A139" s="175" t="s">
        <v>329</v>
      </c>
      <c r="B139" s="1" t="s">
        <v>528</v>
      </c>
      <c r="C139" s="1"/>
      <c r="D139" s="1"/>
      <c r="E139" s="1"/>
      <c r="F139" s="1"/>
      <c r="G139" s="1"/>
      <c r="R139" s="131"/>
      <c r="S139" s="131"/>
      <c r="T139" s="198"/>
      <c r="U139" s="131"/>
      <c r="V139" s="131"/>
      <c r="W139" s="131"/>
      <c r="X139" s="131"/>
      <c r="Y139" s="131"/>
      <c r="Z139" s="131"/>
      <c r="AA139" s="131"/>
      <c r="AB139" s="131"/>
      <c r="AC139" s="131"/>
      <c r="AE139" s="131"/>
    </row>
    <row r="140" spans="1:31" ht="12.25">
      <c r="A140" s="175" t="s">
        <v>335</v>
      </c>
      <c r="B140" s="1" t="s">
        <v>528</v>
      </c>
      <c r="C140" s="1"/>
      <c r="D140" s="1"/>
      <c r="E140" s="1"/>
      <c r="F140" s="1"/>
      <c r="G140" s="1"/>
      <c r="R140" s="131"/>
      <c r="S140" s="131"/>
      <c r="T140" s="198"/>
      <c r="U140" s="131"/>
      <c r="V140" s="131"/>
      <c r="W140" s="131"/>
      <c r="X140" s="131"/>
      <c r="Y140" s="131"/>
      <c r="Z140" s="131"/>
      <c r="AA140" s="131"/>
      <c r="AB140" s="131"/>
      <c r="AC140" s="131"/>
      <c r="AE140" s="131"/>
    </row>
    <row r="141" spans="1:6" ht="11.25">
      <c r="A141" s="175" t="s">
        <v>359</v>
      </c>
      <c r="B141" s="1" t="s">
        <v>535</v>
      </c>
      <c r="C141" s="1"/>
      <c r="D141" s="1"/>
      <c r="E141" s="1"/>
      <c r="F141" s="1"/>
    </row>
    <row r="142" spans="1:31" ht="12.25">
      <c r="A142" s="175" t="s">
        <v>382</v>
      </c>
      <c r="B142" s="1" t="s">
        <v>533</v>
      </c>
      <c r="C142" s="1"/>
      <c r="D142" s="1"/>
      <c r="E142" s="1"/>
      <c r="F142" s="1"/>
      <c r="G142" s="1"/>
      <c r="R142" s="131"/>
      <c r="S142" s="131"/>
      <c r="T142" s="198"/>
      <c r="U142" s="131"/>
      <c r="V142" s="131"/>
      <c r="W142" s="131"/>
      <c r="X142" s="131"/>
      <c r="Y142" s="131"/>
      <c r="Z142" s="131"/>
      <c r="AA142" s="131"/>
      <c r="AB142" s="131"/>
      <c r="AC142" s="131"/>
      <c r="AE142" s="131"/>
    </row>
    <row r="143" spans="1:31" ht="12.25">
      <c r="A143" s="175" t="s">
        <v>367</v>
      </c>
      <c r="B143" s="1" t="s">
        <v>542</v>
      </c>
      <c r="C143" s="1"/>
      <c r="D143" s="1"/>
      <c r="E143" s="1"/>
      <c r="F143" s="1"/>
      <c r="G143" s="1"/>
      <c r="R143" s="131"/>
      <c r="S143" s="131"/>
      <c r="T143" s="198"/>
      <c r="U143" s="131"/>
      <c r="V143" s="131"/>
      <c r="W143" s="131"/>
      <c r="X143" s="131"/>
      <c r="Y143" s="131"/>
      <c r="Z143" s="131"/>
      <c r="AA143" s="131"/>
      <c r="AB143" s="131"/>
      <c r="AC143" s="131"/>
      <c r="AE143" s="131"/>
    </row>
    <row r="144" spans="1:31" ht="12.25">
      <c r="A144" s="175" t="s">
        <v>537</v>
      </c>
      <c r="B144" s="1" t="s">
        <v>538</v>
      </c>
      <c r="C144" s="1"/>
      <c r="D144" s="1"/>
      <c r="E144" s="1"/>
      <c r="F144" s="1"/>
      <c r="G144" s="1"/>
      <c r="R144" s="131"/>
      <c r="S144" s="131"/>
      <c r="T144" s="198"/>
      <c r="U144" s="131"/>
      <c r="V144" s="131"/>
      <c r="W144" s="131"/>
      <c r="X144" s="131"/>
      <c r="Y144" s="131"/>
      <c r="Z144" s="131"/>
      <c r="AA144" s="131"/>
      <c r="AB144" s="131"/>
      <c r="AC144" s="131"/>
      <c r="AE144" s="131"/>
    </row>
    <row r="145" spans="1:31" ht="13" thickBot="1">
      <c r="A145" s="175"/>
      <c r="C145" s="1"/>
      <c r="D145" s="1"/>
      <c r="E145" s="1"/>
      <c r="F145" s="1"/>
      <c r="G145" s="1"/>
      <c r="R145" s="131"/>
      <c r="S145" s="131"/>
      <c r="T145" s="198"/>
      <c r="U145" s="131"/>
      <c r="V145" s="131"/>
      <c r="W145" s="131"/>
      <c r="X145" s="131"/>
      <c r="Y145" s="131"/>
      <c r="Z145" s="131"/>
      <c r="AA145" s="131"/>
      <c r="AB145" s="131"/>
      <c r="AC145" s="131"/>
      <c r="AE145" s="131"/>
    </row>
    <row r="146" spans="1:48" ht="28.75" thickBot="1">
      <c r="A146" s="174"/>
      <c r="B146" s="23"/>
      <c r="C146" s="84"/>
      <c r="D146" s="192"/>
      <c r="E146" s="139"/>
      <c r="F146" s="139"/>
      <c r="G146" s="193"/>
      <c r="H146" s="23"/>
      <c r="I146" s="23"/>
      <c r="J146" s="23"/>
      <c r="Q146" s="175"/>
      <c r="R146" s="143" t="s">
        <v>247</v>
      </c>
      <c r="S146" s="143"/>
      <c r="T146" s="200">
        <v>233</v>
      </c>
      <c r="U146" s="144">
        <f>W146*T146</f>
        <v>791967</v>
      </c>
      <c r="V146" s="144"/>
      <c r="W146" s="147">
        <v>3399</v>
      </c>
      <c r="X146" s="147"/>
      <c r="Y146" s="148">
        <v>0.0648496240601504</v>
      </c>
      <c r="Z146" s="131" t="s">
        <v>490</v>
      </c>
      <c r="AA146" s="163" t="s">
        <v>277</v>
      </c>
      <c r="AB146" s="160">
        <v>10</v>
      </c>
      <c r="AC146" s="161">
        <v>1.1666666666666667</v>
      </c>
      <c r="AD146" s="162">
        <v>67.25</v>
      </c>
      <c r="AE146" s="131" t="s">
        <v>490</v>
      </c>
      <c r="AF146" s="163" t="s">
        <v>277</v>
      </c>
      <c r="AG146" s="160">
        <v>-3</v>
      </c>
      <c r="AH146" s="164">
        <v>0.9423076923076923</v>
      </c>
      <c r="AI146" s="162">
        <v>49.75</v>
      </c>
      <c r="AJ146" s="131" t="s">
        <v>490</v>
      </c>
      <c r="AK146" s="163" t="s">
        <v>277</v>
      </c>
      <c r="AL146" s="160">
        <v>7</v>
      </c>
      <c r="AM146" s="161">
        <v>1.0625</v>
      </c>
      <c r="AN146" s="162">
        <v>117</v>
      </c>
      <c r="AO146" s="174"/>
      <c r="AP146" s="39" t="s">
        <v>247</v>
      </c>
      <c r="AQ146" s="40" t="s">
        <v>248</v>
      </c>
      <c r="AR146" s="120">
        <v>25</v>
      </c>
      <c r="AS146" s="128"/>
      <c r="AT146" s="165" t="s">
        <v>247</v>
      </c>
      <c r="AU146" s="166" t="s">
        <v>248</v>
      </c>
      <c r="AV146" s="167">
        <v>25</v>
      </c>
    </row>
    <row r="147" spans="1:48" ht="28.75" thickBot="1">
      <c r="A147" s="174"/>
      <c r="B147" s="23"/>
      <c r="C147" s="84"/>
      <c r="D147" s="100"/>
      <c r="E147" s="98"/>
      <c r="F147" s="84"/>
      <c r="G147" s="127"/>
      <c r="H147" s="180"/>
      <c r="I147" s="84"/>
      <c r="J147" s="92"/>
      <c r="K147" s="84"/>
      <c r="L147" s="100"/>
      <c r="M147" s="84"/>
      <c r="N147" s="98"/>
      <c r="O147" s="84"/>
      <c r="P147" s="117"/>
      <c r="Q147" s="191"/>
      <c r="R147" s="143" t="s">
        <v>265</v>
      </c>
      <c r="S147" s="143"/>
      <c r="T147" s="199">
        <v>329</v>
      </c>
      <c r="U147" s="144">
        <f>W147*T147</f>
        <v>1651909</v>
      </c>
      <c r="V147" s="144"/>
      <c r="W147" s="145">
        <v>5021</v>
      </c>
      <c r="X147" s="145"/>
      <c r="Y147" s="149">
        <v>-0.0231517509727627</v>
      </c>
      <c r="Z147" s="131" t="s">
        <v>494</v>
      </c>
      <c r="AA147" s="163" t="s">
        <v>319</v>
      </c>
      <c r="AB147" s="160">
        <v>55</v>
      </c>
      <c r="AC147" s="161">
        <v>1.5851063829787233</v>
      </c>
      <c r="AD147" s="162">
        <v>117</v>
      </c>
      <c r="AE147" s="131" t="s">
        <v>494</v>
      </c>
      <c r="AF147" s="163" t="s">
        <v>319</v>
      </c>
      <c r="AG147" s="160">
        <v>-6</v>
      </c>
      <c r="AH147" s="164">
        <v>0.6666666666666666</v>
      </c>
      <c r="AI147" s="162">
        <v>15.25</v>
      </c>
      <c r="AJ147" s="131" t="s">
        <v>494</v>
      </c>
      <c r="AK147" s="163" t="s">
        <v>319</v>
      </c>
      <c r="AL147" s="160">
        <v>49</v>
      </c>
      <c r="AM147" s="161">
        <v>1.4375</v>
      </c>
      <c r="AN147" s="162">
        <v>132.25</v>
      </c>
      <c r="AO147" s="174"/>
      <c r="AP147" s="165" t="s">
        <v>265</v>
      </c>
      <c r="AQ147" s="166" t="s">
        <v>265</v>
      </c>
      <c r="AR147" s="167">
        <v>50</v>
      </c>
      <c r="AS147" s="128"/>
      <c r="AT147" s="165" t="s">
        <v>265</v>
      </c>
      <c r="AU147" s="166" t="s">
        <v>265</v>
      </c>
      <c r="AV147" s="167">
        <v>4</v>
      </c>
    </row>
    <row r="148" spans="1:48" ht="13" thickBot="1">
      <c r="A148" s="174"/>
      <c r="B148" s="23"/>
      <c r="C148" s="84"/>
      <c r="D148" s="100"/>
      <c r="E148" s="98"/>
      <c r="F148" s="84"/>
      <c r="G148" s="127"/>
      <c r="H148" s="180"/>
      <c r="I148" s="84"/>
      <c r="J148" s="92"/>
      <c r="K148" s="84"/>
      <c r="L148" s="100"/>
      <c r="M148" s="84"/>
      <c r="N148" s="98"/>
      <c r="O148" s="84"/>
      <c r="P148" s="117"/>
      <c r="Q148" s="191"/>
      <c r="R148" s="143" t="s">
        <v>329</v>
      </c>
      <c r="S148" s="143"/>
      <c r="T148" s="199">
        <v>321</v>
      </c>
      <c r="U148" s="144">
        <f>W148*T148</f>
        <v>779388</v>
      </c>
      <c r="V148" s="144"/>
      <c r="W148" s="145">
        <v>2428</v>
      </c>
      <c r="X148" s="145"/>
      <c r="Y148" s="146">
        <v>0.00705101617586057</v>
      </c>
      <c r="Z148" s="131"/>
      <c r="AA148" s="163"/>
      <c r="AB148" s="160"/>
      <c r="AC148" s="172"/>
      <c r="AD148" s="173"/>
      <c r="AE148" s="131" t="s">
        <v>514</v>
      </c>
      <c r="AF148" s="163" t="s">
        <v>363</v>
      </c>
      <c r="AG148" s="160">
        <v>-4</v>
      </c>
      <c r="AH148" s="164">
        <v>0.9583333333333334</v>
      </c>
      <c r="AI148" s="162">
        <v>93.75</v>
      </c>
      <c r="AJ148" s="1" t="s">
        <v>514</v>
      </c>
      <c r="AK148" s="163" t="s">
        <v>363</v>
      </c>
      <c r="AL148" s="160">
        <v>-4</v>
      </c>
      <c r="AM148" s="161">
        <v>0.9583333333333334</v>
      </c>
      <c r="AN148" s="162">
        <v>93.75</v>
      </c>
      <c r="AP148" s="38"/>
      <c r="AQ148" s="23"/>
      <c r="AR148" s="119"/>
      <c r="AT148" s="165" t="s">
        <v>329</v>
      </c>
      <c r="AU148" s="166" t="s">
        <v>329</v>
      </c>
      <c r="AV148" s="167">
        <v>32</v>
      </c>
    </row>
    <row r="149" spans="1:48" ht="13" thickBot="1">
      <c r="A149" s="174"/>
      <c r="B149" s="23"/>
      <c r="C149" s="84"/>
      <c r="D149" s="100"/>
      <c r="E149" s="98"/>
      <c r="F149" s="84"/>
      <c r="G149" s="127"/>
      <c r="H149" s="180"/>
      <c r="I149" s="84"/>
      <c r="J149" s="92"/>
      <c r="K149" s="84"/>
      <c r="L149" s="100"/>
      <c r="M149" s="84"/>
      <c r="N149" s="98"/>
      <c r="O149" s="84"/>
      <c r="P149" s="117"/>
      <c r="Q149" s="191"/>
      <c r="R149" s="143" t="s">
        <v>335</v>
      </c>
      <c r="S149" s="143"/>
      <c r="T149" s="200">
        <v>241</v>
      </c>
      <c r="U149" s="144">
        <f>W149*T149</f>
        <v>1272480</v>
      </c>
      <c r="V149" s="144"/>
      <c r="W149" s="147">
        <v>5280</v>
      </c>
      <c r="X149" s="147"/>
      <c r="Y149" s="150">
        <v>-0.00789177001127395</v>
      </c>
      <c r="Z149" s="131"/>
      <c r="AA149" s="163"/>
      <c r="AB149" s="160"/>
      <c r="AC149" s="172"/>
      <c r="AD149" s="173"/>
      <c r="AE149" s="131" t="s">
        <v>515</v>
      </c>
      <c r="AF149" s="163" t="s">
        <v>388</v>
      </c>
      <c r="AG149" s="160">
        <v>-2</v>
      </c>
      <c r="AH149" s="164">
        <v>0.9824561403508771</v>
      </c>
      <c r="AI149" s="162">
        <v>112.5</v>
      </c>
      <c r="AJ149" s="1" t="s">
        <v>515</v>
      </c>
      <c r="AK149" s="163" t="s">
        <v>388</v>
      </c>
      <c r="AL149" s="160">
        <v>-2</v>
      </c>
      <c r="AM149" s="161">
        <v>0.9824561403508771</v>
      </c>
      <c r="AN149" s="162">
        <v>112.5</v>
      </c>
      <c r="AP149" s="38"/>
      <c r="AQ149" s="23"/>
      <c r="AR149" s="119"/>
      <c r="AT149" s="165" t="s">
        <v>335</v>
      </c>
      <c r="AU149" s="166" t="s">
        <v>335</v>
      </c>
      <c r="AV149" s="167">
        <v>37.333333333333336</v>
      </c>
    </row>
    <row r="150" spans="1:48" ht="13" thickBot="1">
      <c r="A150" s="174"/>
      <c r="B150" s="23"/>
      <c r="C150" s="84"/>
      <c r="D150" s="100"/>
      <c r="E150" s="98"/>
      <c r="F150" s="84"/>
      <c r="G150" s="127"/>
      <c r="H150" s="180"/>
      <c r="I150" s="84"/>
      <c r="J150" s="92"/>
      <c r="K150" s="84"/>
      <c r="L150" s="100"/>
      <c r="M150" s="84"/>
      <c r="N150" s="98"/>
      <c r="O150" s="84"/>
      <c r="P150" s="117"/>
      <c r="Q150" s="191"/>
      <c r="R150" s="143" t="s">
        <v>353</v>
      </c>
      <c r="S150" s="143"/>
      <c r="T150" s="200">
        <v>81</v>
      </c>
      <c r="U150" s="144">
        <f>W150*T150</f>
        <v>66339</v>
      </c>
      <c r="V150" s="144"/>
      <c r="W150" s="147">
        <v>819</v>
      </c>
      <c r="X150" s="147"/>
      <c r="Y150" s="148">
        <v>0.0446428571428572</v>
      </c>
      <c r="Z150" s="131" t="s">
        <v>483</v>
      </c>
      <c r="AA150" s="163" t="s">
        <v>242</v>
      </c>
      <c r="AB150" s="160">
        <v>39</v>
      </c>
      <c r="AC150" s="161">
        <v>5.333333333333333</v>
      </c>
      <c r="AD150" s="162">
        <v>22</v>
      </c>
      <c r="AE150" s="131" t="s">
        <v>483</v>
      </c>
      <c r="AF150" s="163" t="s">
        <v>242</v>
      </c>
      <c r="AG150" s="160">
        <v>-3</v>
      </c>
      <c r="AH150" s="164">
        <v>0.75</v>
      </c>
      <c r="AI150" s="162">
        <v>11.25</v>
      </c>
      <c r="AJ150" s="178" t="s">
        <v>483</v>
      </c>
      <c r="AK150" s="163" t="s">
        <v>242</v>
      </c>
      <c r="AL150" s="160">
        <v>36</v>
      </c>
      <c r="AM150" s="161">
        <v>2.7142857142857144</v>
      </c>
      <c r="AN150" s="162">
        <v>33.25</v>
      </c>
      <c r="AP150" s="39" t="s">
        <v>519</v>
      </c>
      <c r="AQ150" s="39" t="s">
        <v>519</v>
      </c>
      <c r="AR150" s="120">
        <v>8</v>
      </c>
      <c r="AT150" s="168" t="s">
        <v>519</v>
      </c>
      <c r="AU150" s="169" t="s">
        <v>373</v>
      </c>
      <c r="AV150" s="170">
        <v>0</v>
      </c>
    </row>
    <row r="151" spans="1:48" ht="13" thickBot="1">
      <c r="A151" s="174"/>
      <c r="B151" s="23"/>
      <c r="C151" s="84"/>
      <c r="D151" s="192"/>
      <c r="E151" s="139"/>
      <c r="F151" s="139"/>
      <c r="G151" s="193"/>
      <c r="H151" s="23"/>
      <c r="I151" s="23"/>
      <c r="J151" s="23"/>
      <c r="Q151" s="175"/>
      <c r="R151" s="143" t="s">
        <v>396</v>
      </c>
      <c r="S151" s="143"/>
      <c r="T151" s="199">
        <v>87</v>
      </c>
      <c r="U151" s="144">
        <f aca="true" t="shared" si="15" ref="U151">W151*T151</f>
        <v>286752</v>
      </c>
      <c r="V151" s="144"/>
      <c r="W151" s="145">
        <v>3296</v>
      </c>
      <c r="X151" s="145"/>
      <c r="Y151" s="146">
        <v>0.0338770388958596</v>
      </c>
      <c r="AE151" s="131"/>
      <c r="AF151" s="163"/>
      <c r="AG151" s="160"/>
      <c r="AH151" s="164"/>
      <c r="AI151" s="162"/>
      <c r="AJ151" s="178"/>
      <c r="AK151" s="163"/>
      <c r="AL151" s="160"/>
      <c r="AM151" s="161"/>
      <c r="AN151" s="162"/>
      <c r="AP151" s="39"/>
      <c r="AQ151" s="40"/>
      <c r="AR151" s="120"/>
      <c r="AT151" s="39" t="s">
        <v>519</v>
      </c>
      <c r="AU151" s="40" t="s">
        <v>240</v>
      </c>
      <c r="AV151" s="120">
        <v>0</v>
      </c>
    </row>
    <row r="152" spans="1:44" ht="13" thickBot="1">
      <c r="A152" s="174"/>
      <c r="B152" s="23"/>
      <c r="C152" s="84"/>
      <c r="D152" s="192"/>
      <c r="E152" s="139"/>
      <c r="F152" s="139"/>
      <c r="G152" s="193"/>
      <c r="H152" s="23"/>
      <c r="I152" s="23"/>
      <c r="J152" s="23"/>
      <c r="Q152" s="175"/>
      <c r="R152" s="143" t="s">
        <v>400</v>
      </c>
      <c r="S152" s="143"/>
      <c r="T152" s="200">
        <v>34</v>
      </c>
      <c r="U152" s="144">
        <f>W152*T152</f>
        <v>347786</v>
      </c>
      <c r="V152" s="144"/>
      <c r="W152" s="147">
        <v>10229</v>
      </c>
      <c r="X152" s="147"/>
      <c r="Y152" s="148">
        <v>0.0215719564566064</v>
      </c>
      <c r="AE152" s="131"/>
      <c r="AF152" s="163"/>
      <c r="AG152" s="160"/>
      <c r="AH152" s="164"/>
      <c r="AI152" s="162"/>
      <c r="AJ152" s="178"/>
      <c r="AK152" s="163"/>
      <c r="AL152" s="160"/>
      <c r="AM152" s="161"/>
      <c r="AN152" s="162"/>
      <c r="AP152" s="39"/>
      <c r="AQ152" s="40"/>
      <c r="AR152" s="120"/>
    </row>
    <row r="153" spans="1:44" ht="13" thickBot="1">
      <c r="A153" s="174"/>
      <c r="B153" s="23"/>
      <c r="C153" s="84"/>
      <c r="D153" s="192"/>
      <c r="E153" s="139"/>
      <c r="F153" s="139"/>
      <c r="G153" s="193"/>
      <c r="H153" s="23"/>
      <c r="I153" s="23"/>
      <c r="J153" s="23"/>
      <c r="Q153" s="175"/>
      <c r="R153" s="143" t="s">
        <v>404</v>
      </c>
      <c r="S153" s="143"/>
      <c r="T153" s="199">
        <v>0</v>
      </c>
      <c r="U153" s="144">
        <f>W153*T153</f>
        <v>0</v>
      </c>
      <c r="V153" s="144"/>
      <c r="W153" s="151"/>
      <c r="X153" s="151"/>
      <c r="Y153" s="152"/>
      <c r="Z153" s="131" t="s">
        <v>489</v>
      </c>
      <c r="AA153" s="163" t="s">
        <v>325</v>
      </c>
      <c r="AB153" s="160">
        <v>4</v>
      </c>
      <c r="AC153" s="161">
        <v>1.1176470588235294</v>
      </c>
      <c r="AD153" s="162">
        <v>38.75</v>
      </c>
      <c r="AJ153" s="131" t="s">
        <v>489</v>
      </c>
      <c r="AK153" s="163" t="s">
        <v>325</v>
      </c>
      <c r="AL153" s="160">
        <v>4</v>
      </c>
      <c r="AM153" s="161">
        <v>1.1176470588235294</v>
      </c>
      <c r="AN153" s="162">
        <v>38.75</v>
      </c>
      <c r="AP153" s="39"/>
      <c r="AQ153" s="40"/>
      <c r="AR153" s="120"/>
    </row>
    <row r="154" spans="1:48" ht="13" thickBot="1">
      <c r="A154" s="174"/>
      <c r="B154" s="23"/>
      <c r="C154" s="84"/>
      <c r="D154" s="192"/>
      <c r="E154" s="139"/>
      <c r="F154" s="139"/>
      <c r="G154" s="193"/>
      <c r="H154" s="23"/>
      <c r="I154" s="23"/>
      <c r="J154" s="23"/>
      <c r="Q154" s="175"/>
      <c r="R154" s="143" t="s">
        <v>421</v>
      </c>
      <c r="S154" s="143"/>
      <c r="T154" s="199">
        <v>0</v>
      </c>
      <c r="U154" s="144">
        <f aca="true" t="shared" si="16" ref="U154">W154*T154</f>
        <v>0</v>
      </c>
      <c r="V154" s="144"/>
      <c r="W154" s="145">
        <v>2953</v>
      </c>
      <c r="X154" s="145"/>
      <c r="Y154" s="146">
        <v>0.147687524290711</v>
      </c>
      <c r="AE154" s="131" t="s">
        <v>516</v>
      </c>
      <c r="AF154" s="163" t="s">
        <v>438</v>
      </c>
      <c r="AG154" s="160">
        <v>-8</v>
      </c>
      <c r="AH154" s="164">
        <v>0.7333333333333333</v>
      </c>
      <c r="AI154" s="162">
        <v>32.75</v>
      </c>
      <c r="AJ154" s="1" t="s">
        <v>516</v>
      </c>
      <c r="AK154" s="163" t="s">
        <v>438</v>
      </c>
      <c r="AL154" s="160">
        <v>-8</v>
      </c>
      <c r="AM154" s="161">
        <v>0.7333333333333333</v>
      </c>
      <c r="AN154" s="162">
        <v>32.75</v>
      </c>
      <c r="AP154" s="39"/>
      <c r="AQ154" s="40"/>
      <c r="AR154" s="120"/>
      <c r="AT154" s="165" t="s">
        <v>358</v>
      </c>
      <c r="AU154" s="166" t="s">
        <v>359</v>
      </c>
      <c r="AV154" s="167">
        <v>12.333333333333334</v>
      </c>
    </row>
    <row r="155" spans="1:44" ht="13" thickBot="1">
      <c r="A155" s="174"/>
      <c r="B155" s="23"/>
      <c r="C155" s="84"/>
      <c r="D155" s="192"/>
      <c r="E155" s="139"/>
      <c r="F155" s="139"/>
      <c r="G155" s="193"/>
      <c r="H155" s="23"/>
      <c r="I155" s="23"/>
      <c r="J155" s="23"/>
      <c r="Q155" s="175"/>
      <c r="R155" s="143" t="s">
        <v>431</v>
      </c>
      <c r="S155" s="143"/>
      <c r="T155" s="199">
        <v>578</v>
      </c>
      <c r="U155" s="144">
        <f>W155*T155</f>
        <v>259522</v>
      </c>
      <c r="V155" s="144"/>
      <c r="W155" s="145">
        <v>449</v>
      </c>
      <c r="X155" s="145"/>
      <c r="Y155" s="149">
        <v>-0.353956834532374</v>
      </c>
      <c r="Z155" s="131" t="s">
        <v>509</v>
      </c>
      <c r="AA155" s="163" t="s">
        <v>406</v>
      </c>
      <c r="AB155" s="160">
        <v>2</v>
      </c>
      <c r="AC155" s="172">
        <v>1.2857142857142858</v>
      </c>
      <c r="AD155" s="173">
        <v>8.25</v>
      </c>
      <c r="AE155" s="131"/>
      <c r="AF155" s="163"/>
      <c r="AG155" s="160"/>
      <c r="AH155" s="164"/>
      <c r="AI155" s="162"/>
      <c r="AJ155" s="1" t="s">
        <v>509</v>
      </c>
      <c r="AK155" s="163" t="s">
        <v>406</v>
      </c>
      <c r="AL155" s="160">
        <v>2</v>
      </c>
      <c r="AM155" s="161">
        <v>1.2857142857142858</v>
      </c>
      <c r="AN155" s="162">
        <v>8.25</v>
      </c>
      <c r="AP155" s="171" t="s">
        <v>381</v>
      </c>
      <c r="AQ155" s="166" t="s">
        <v>382</v>
      </c>
      <c r="AR155" s="167">
        <v>3.3333333333333335</v>
      </c>
    </row>
    <row r="156" spans="1:44" ht="13" thickBot="1">
      <c r="A156" s="174"/>
      <c r="B156" s="23"/>
      <c r="C156" s="84"/>
      <c r="D156" s="192"/>
      <c r="E156" s="139"/>
      <c r="F156" s="139"/>
      <c r="G156" s="193"/>
      <c r="H156" s="23"/>
      <c r="I156" s="23"/>
      <c r="J156" s="23"/>
      <c r="Q156" s="175"/>
      <c r="R156" s="143" t="s">
        <v>435</v>
      </c>
      <c r="S156" s="143"/>
      <c r="T156" s="200">
        <v>15</v>
      </c>
      <c r="U156" s="144">
        <f>W156*T156</f>
        <v>31725</v>
      </c>
      <c r="V156" s="144"/>
      <c r="W156" s="147">
        <v>2115</v>
      </c>
      <c r="X156" s="147"/>
      <c r="Y156" s="150">
        <v>-0.145454545454546</v>
      </c>
      <c r="Z156" s="131" t="s">
        <v>491</v>
      </c>
      <c r="AA156" s="163" t="s">
        <v>342</v>
      </c>
      <c r="AB156" s="160">
        <v>0</v>
      </c>
      <c r="AC156" s="161" t="e">
        <v>#DIV/0!</v>
      </c>
      <c r="AD156" s="162">
        <v>0.25</v>
      </c>
      <c r="AE156" s="131"/>
      <c r="AF156" s="163"/>
      <c r="AG156" s="160"/>
      <c r="AH156" s="164"/>
      <c r="AI156" s="162"/>
      <c r="AJ156" s="131" t="s">
        <v>491</v>
      </c>
      <c r="AK156" s="163" t="s">
        <v>342</v>
      </c>
      <c r="AL156" s="160">
        <v>0</v>
      </c>
      <c r="AM156" s="161" t="e">
        <v>#DIV/0!</v>
      </c>
      <c r="AN156" s="162">
        <v>0.25</v>
      </c>
      <c r="AP156" s="187"/>
      <c r="AQ156" s="166"/>
      <c r="AR156" s="167"/>
    </row>
    <row r="157" spans="1:44" ht="13" thickBot="1">
      <c r="A157" s="174"/>
      <c r="B157" s="23"/>
      <c r="C157" s="84"/>
      <c r="D157" s="192"/>
      <c r="E157" s="139"/>
      <c r="F157" s="139"/>
      <c r="G157" s="193"/>
      <c r="H157" s="23"/>
      <c r="I157" s="23"/>
      <c r="J157" s="23"/>
      <c r="Q157" s="175"/>
      <c r="R157" s="143"/>
      <c r="S157" s="143"/>
      <c r="T157" s="200"/>
      <c r="U157" s="144"/>
      <c r="V157" s="144"/>
      <c r="W157" s="147"/>
      <c r="X157" s="147"/>
      <c r="Y157" s="150"/>
      <c r="Z157" s="131" t="s">
        <v>491</v>
      </c>
      <c r="AA157" s="163" t="s">
        <v>243</v>
      </c>
      <c r="AB157" s="160">
        <v>-10</v>
      </c>
      <c r="AC157" s="172">
        <v>0.5</v>
      </c>
      <c r="AD157" s="173">
        <v>12.5</v>
      </c>
      <c r="AE157" s="131"/>
      <c r="AF157" s="163"/>
      <c r="AG157" s="160"/>
      <c r="AH157" s="164"/>
      <c r="AI157" s="162"/>
      <c r="AJ157" s="1" t="s">
        <v>491</v>
      </c>
      <c r="AK157" s="163" t="s">
        <v>243</v>
      </c>
      <c r="AL157" s="160">
        <v>-10</v>
      </c>
      <c r="AM157" s="161">
        <v>0.5</v>
      </c>
      <c r="AN157" s="162">
        <v>12.5</v>
      </c>
      <c r="AP157" s="187"/>
      <c r="AQ157" s="166"/>
      <c r="AR157" s="167"/>
    </row>
    <row r="158" spans="1:44" ht="13" thickBot="1">
      <c r="A158" s="174"/>
      <c r="B158" s="23"/>
      <c r="C158" s="84"/>
      <c r="D158" s="192"/>
      <c r="E158" s="139"/>
      <c r="F158" s="139"/>
      <c r="G158" s="193"/>
      <c r="H158" s="23"/>
      <c r="I158" s="23"/>
      <c r="J158" s="23"/>
      <c r="Q158" s="175"/>
      <c r="R158" s="143"/>
      <c r="S158" s="143"/>
      <c r="T158" s="200"/>
      <c r="U158" s="144"/>
      <c r="V158" s="144"/>
      <c r="W158" s="147"/>
      <c r="X158" s="147"/>
      <c r="Y158" s="150"/>
      <c r="Z158" s="131" t="s">
        <v>511</v>
      </c>
      <c r="AA158" s="163" t="s">
        <v>467</v>
      </c>
      <c r="AB158" s="160">
        <v>-1</v>
      </c>
      <c r="AC158" s="172">
        <v>0</v>
      </c>
      <c r="AD158" s="173">
        <v>0.25</v>
      </c>
      <c r="AE158" s="131"/>
      <c r="AF158" s="163"/>
      <c r="AG158" s="160"/>
      <c r="AH158" s="164"/>
      <c r="AI158" s="162"/>
      <c r="AJ158" s="1" t="s">
        <v>511</v>
      </c>
      <c r="AK158" s="163" t="s">
        <v>467</v>
      </c>
      <c r="AL158" s="160">
        <v>-1</v>
      </c>
      <c r="AM158" s="161">
        <v>0</v>
      </c>
      <c r="AN158" s="162">
        <v>0.25</v>
      </c>
      <c r="AP158" s="187"/>
      <c r="AQ158" s="166"/>
      <c r="AR158" s="167"/>
    </row>
    <row r="159" spans="1:44" ht="13" thickBot="1">
      <c r="A159" s="174"/>
      <c r="B159" s="23"/>
      <c r="C159" s="84"/>
      <c r="D159" s="192"/>
      <c r="E159" s="139"/>
      <c r="F159" s="139"/>
      <c r="G159" s="193"/>
      <c r="H159" s="23"/>
      <c r="I159" s="23"/>
      <c r="J159" s="23"/>
      <c r="Q159" s="175"/>
      <c r="R159" s="143" t="s">
        <v>441</v>
      </c>
      <c r="S159" s="143"/>
      <c r="T159" s="199">
        <v>0</v>
      </c>
      <c r="U159" s="144">
        <f aca="true" t="shared" si="17" ref="U159">W159*T159</f>
        <v>0</v>
      </c>
      <c r="V159" s="144"/>
      <c r="W159" s="145">
        <v>3269</v>
      </c>
      <c r="X159" s="145"/>
      <c r="Y159" s="146">
        <v>0.859499431171786</v>
      </c>
      <c r="Z159" s="131" t="s">
        <v>493</v>
      </c>
      <c r="AA159" s="163" t="s">
        <v>368</v>
      </c>
      <c r="AB159" s="160">
        <v>-2</v>
      </c>
      <c r="AC159" s="161">
        <v>0.987012987012987</v>
      </c>
      <c r="AD159" s="162">
        <v>150.5</v>
      </c>
      <c r="AJ159" s="131" t="s">
        <v>493</v>
      </c>
      <c r="AK159" s="163" t="s">
        <v>368</v>
      </c>
      <c r="AL159" s="160">
        <v>-2</v>
      </c>
      <c r="AM159" s="161">
        <v>0.987012987012987</v>
      </c>
      <c r="AN159" s="162">
        <v>150.5</v>
      </c>
      <c r="AP159" s="1" t="s">
        <v>520</v>
      </c>
      <c r="AQ159" s="1" t="s">
        <v>430</v>
      </c>
      <c r="AR159" s="1">
        <v>73</v>
      </c>
    </row>
    <row r="160" spans="1:48" ht="13" thickBot="1">
      <c r="A160" s="174"/>
      <c r="B160" s="23"/>
      <c r="C160" s="84"/>
      <c r="D160" s="100"/>
      <c r="E160" s="98"/>
      <c r="F160" s="84"/>
      <c r="G160" s="127"/>
      <c r="H160" s="180"/>
      <c r="I160" s="84"/>
      <c r="J160" s="92"/>
      <c r="K160" s="84"/>
      <c r="L160" s="100"/>
      <c r="M160" s="84"/>
      <c r="N160" s="98"/>
      <c r="O160" s="84"/>
      <c r="P160" s="117"/>
      <c r="Q160" s="191"/>
      <c r="R160" s="143"/>
      <c r="S160" s="143"/>
      <c r="T160" s="199"/>
      <c r="U160" s="144"/>
      <c r="V160" s="144"/>
      <c r="W160" s="145"/>
      <c r="X160" s="145"/>
      <c r="Y160" s="149"/>
      <c r="Z160" s="131" t="s">
        <v>506</v>
      </c>
      <c r="AA160" s="163" t="s">
        <v>343</v>
      </c>
      <c r="AB160" s="160">
        <v>-2</v>
      </c>
      <c r="AC160" s="172">
        <v>0</v>
      </c>
      <c r="AD160" s="173">
        <v>1</v>
      </c>
      <c r="AE160" s="131"/>
      <c r="AF160" s="163"/>
      <c r="AG160" s="160"/>
      <c r="AH160" s="164"/>
      <c r="AI160" s="162"/>
      <c r="AJ160" s="1" t="s">
        <v>506</v>
      </c>
      <c r="AK160" s="163" t="s">
        <v>343</v>
      </c>
      <c r="AL160" s="160">
        <v>-2</v>
      </c>
      <c r="AM160" s="161">
        <v>0</v>
      </c>
      <c r="AN160" s="162">
        <v>1</v>
      </c>
      <c r="AP160" s="171" t="s">
        <v>235</v>
      </c>
      <c r="AQ160" s="166" t="s">
        <v>236</v>
      </c>
      <c r="AR160" s="167">
        <v>63</v>
      </c>
      <c r="AT160" s="165"/>
      <c r="AU160" s="166"/>
      <c r="AV160" s="167"/>
    </row>
    <row r="161" spans="1:44" ht="13" thickBot="1">
      <c r="A161" s="174"/>
      <c r="B161" s="23"/>
      <c r="C161" s="84"/>
      <c r="D161" s="100"/>
      <c r="E161" s="98"/>
      <c r="F161" s="84"/>
      <c r="G161" s="127"/>
      <c r="H161" s="180"/>
      <c r="I161" s="84"/>
      <c r="J161" s="92"/>
      <c r="K161" s="84"/>
      <c r="L161" s="100"/>
      <c r="M161" s="84"/>
      <c r="N161" s="98"/>
      <c r="O161" s="84"/>
      <c r="P161" s="117"/>
      <c r="Q161" s="191"/>
      <c r="R161" s="143"/>
      <c r="S161" s="143"/>
      <c r="T161" s="200"/>
      <c r="U161" s="144"/>
      <c r="V161" s="144"/>
      <c r="W161" s="147"/>
      <c r="X161" s="147"/>
      <c r="Y161" s="148"/>
      <c r="Z161" s="131" t="s">
        <v>506</v>
      </c>
      <c r="AA161" s="163" t="s">
        <v>387</v>
      </c>
      <c r="AB161" s="160">
        <v>66</v>
      </c>
      <c r="AC161" s="172">
        <v>1.5789473684210527</v>
      </c>
      <c r="AD161" s="173">
        <v>123</v>
      </c>
      <c r="AE161" s="131"/>
      <c r="AF161" s="163"/>
      <c r="AG161" s="160"/>
      <c r="AH161" s="164"/>
      <c r="AI161" s="162"/>
      <c r="AJ161" s="1" t="s">
        <v>506</v>
      </c>
      <c r="AK161" s="163" t="s">
        <v>387</v>
      </c>
      <c r="AL161" s="160">
        <v>66</v>
      </c>
      <c r="AM161" s="161">
        <v>1.5789473684210527</v>
      </c>
      <c r="AN161" s="162">
        <v>123</v>
      </c>
      <c r="AP161" s="38"/>
      <c r="AQ161" s="23"/>
      <c r="AR161" s="119"/>
    </row>
    <row r="162" spans="1:48" ht="13" thickBot="1">
      <c r="A162" s="174"/>
      <c r="B162" s="23"/>
      <c r="C162" s="84"/>
      <c r="D162" s="100"/>
      <c r="E162" s="98"/>
      <c r="F162" s="84"/>
      <c r="G162" s="127"/>
      <c r="H162" s="180"/>
      <c r="I162" s="84"/>
      <c r="J162" s="92"/>
      <c r="K162" s="84"/>
      <c r="L162" s="100"/>
      <c r="M162" s="84"/>
      <c r="N162" s="98"/>
      <c r="O162" s="84"/>
      <c r="P162" s="117"/>
      <c r="Q162" s="191"/>
      <c r="R162" s="143"/>
      <c r="S162" s="143"/>
      <c r="T162" s="200"/>
      <c r="U162" s="144"/>
      <c r="V162" s="144"/>
      <c r="W162" s="147"/>
      <c r="X162" s="147"/>
      <c r="Y162" s="148"/>
      <c r="Z162" s="131" t="s">
        <v>502</v>
      </c>
      <c r="AA162" s="163" t="s">
        <v>250</v>
      </c>
      <c r="AB162" s="160">
        <v>-36</v>
      </c>
      <c r="AC162" s="172">
        <v>0.8085106382978723</v>
      </c>
      <c r="AD162" s="173">
        <v>160</v>
      </c>
      <c r="AE162" s="131" t="s">
        <v>502</v>
      </c>
      <c r="AF162" s="163" t="s">
        <v>250</v>
      </c>
      <c r="AG162" s="160">
        <v>-14</v>
      </c>
      <c r="AH162" s="164">
        <v>0.17647058823529413</v>
      </c>
      <c r="AI162" s="162">
        <v>8.25</v>
      </c>
      <c r="AJ162" s="1" t="s">
        <v>502</v>
      </c>
      <c r="AK162" s="163" t="s">
        <v>250</v>
      </c>
      <c r="AL162" s="160">
        <v>-50</v>
      </c>
      <c r="AM162" s="161">
        <v>0.7560975609756098</v>
      </c>
      <c r="AN162" s="162">
        <v>168.25</v>
      </c>
      <c r="AP162" s="168" t="s">
        <v>240</v>
      </c>
      <c r="AQ162" s="169" t="s">
        <v>241</v>
      </c>
      <c r="AR162" s="170">
        <v>17</v>
      </c>
      <c r="AT162" s="165"/>
      <c r="AU162" s="166"/>
      <c r="AV162" s="167"/>
    </row>
    <row r="163" spans="1:48" ht="12.75" thickBot="1">
      <c r="A163" s="174"/>
      <c r="B163" s="23"/>
      <c r="C163" s="84"/>
      <c r="D163" s="100"/>
      <c r="E163" s="98"/>
      <c r="F163" s="84"/>
      <c r="G163" s="127"/>
      <c r="H163" s="180"/>
      <c r="I163" s="84"/>
      <c r="J163" s="92"/>
      <c r="K163" s="84"/>
      <c r="L163" s="100"/>
      <c r="M163" s="84"/>
      <c r="N163" s="98"/>
      <c r="O163" s="84"/>
      <c r="P163" s="117"/>
      <c r="Q163" s="191"/>
      <c r="R163" s="143" t="s">
        <v>240</v>
      </c>
      <c r="S163" s="143"/>
      <c r="T163" s="199">
        <v>0</v>
      </c>
      <c r="U163" s="144">
        <f>W163*T163</f>
        <v>0</v>
      </c>
      <c r="V163" s="144"/>
      <c r="W163" s="145">
        <v>79</v>
      </c>
      <c r="X163" s="145"/>
      <c r="Y163" s="149">
        <v>-0.509316770186335</v>
      </c>
      <c r="AP163" s="38" t="s">
        <v>240</v>
      </c>
      <c r="AQ163" s="23" t="s">
        <v>246</v>
      </c>
      <c r="AR163" s="119">
        <v>13.333333333333334</v>
      </c>
      <c r="AT163" s="165"/>
      <c r="AU163" s="166"/>
      <c r="AV163" s="167"/>
    </row>
    <row r="164" spans="1:48" ht="13" thickBot="1">
      <c r="A164" s="174"/>
      <c r="B164" s="23"/>
      <c r="C164" s="84"/>
      <c r="D164" s="192"/>
      <c r="E164" s="139"/>
      <c r="F164" s="139"/>
      <c r="G164" s="193"/>
      <c r="H164" s="23"/>
      <c r="I164" s="23"/>
      <c r="J164" s="23"/>
      <c r="Q164" s="175"/>
      <c r="Z164" s="131"/>
      <c r="AA164" s="163"/>
      <c r="AB164" s="160"/>
      <c r="AC164" s="172"/>
      <c r="AD164" s="173"/>
      <c r="AE164" s="131"/>
      <c r="AF164" s="163"/>
      <c r="AG164" s="160"/>
      <c r="AH164" s="164"/>
      <c r="AI164" s="162"/>
      <c r="AK164" s="163"/>
      <c r="AL164" s="160"/>
      <c r="AM164" s="161"/>
      <c r="AN164" s="162"/>
      <c r="AP164" s="39" t="s">
        <v>240</v>
      </c>
      <c r="AQ164" s="40" t="s">
        <v>240</v>
      </c>
      <c r="AR164" s="120">
        <v>90</v>
      </c>
      <c r="AT164" s="165"/>
      <c r="AU164" s="166"/>
      <c r="AV164" s="167"/>
    </row>
    <row r="165" spans="1:48" ht="13" thickBot="1">
      <c r="A165" s="174"/>
      <c r="B165" s="23"/>
      <c r="C165" s="84"/>
      <c r="D165" s="100"/>
      <c r="E165" s="98"/>
      <c r="F165" s="84"/>
      <c r="G165" s="127"/>
      <c r="H165" s="180"/>
      <c r="I165" s="84"/>
      <c r="J165" s="92"/>
      <c r="K165" s="84"/>
      <c r="L165" s="100"/>
      <c r="M165" s="84"/>
      <c r="N165" s="98"/>
      <c r="O165" s="84"/>
      <c r="P165" s="117"/>
      <c r="Q165" s="191"/>
      <c r="R165" s="143"/>
      <c r="S165" s="143"/>
      <c r="T165" s="199"/>
      <c r="U165" s="144"/>
      <c r="V165" s="144"/>
      <c r="W165" s="145"/>
      <c r="X165" s="145"/>
      <c r="Y165" s="149"/>
      <c r="Z165" s="131"/>
      <c r="AA165" s="163"/>
      <c r="AB165" s="160"/>
      <c r="AC165" s="172"/>
      <c r="AD165" s="173"/>
      <c r="AE165" s="131" t="s">
        <v>314</v>
      </c>
      <c r="AF165" s="163" t="s">
        <v>320</v>
      </c>
      <c r="AG165" s="160">
        <v>14</v>
      </c>
      <c r="AH165" s="164">
        <v>1.2413793103448276</v>
      </c>
      <c r="AI165" s="162">
        <v>64.25</v>
      </c>
      <c r="AJ165" s="1" t="s">
        <v>314</v>
      </c>
      <c r="AK165" s="163" t="s">
        <v>320</v>
      </c>
      <c r="AL165" s="160">
        <v>14</v>
      </c>
      <c r="AM165" s="161">
        <v>1.2413793103448276</v>
      </c>
      <c r="AN165" s="162">
        <v>64.25</v>
      </c>
      <c r="AT165" s="165" t="s">
        <v>314</v>
      </c>
      <c r="AU165" s="166" t="s">
        <v>315</v>
      </c>
      <c r="AV165" s="167">
        <v>36.666666666666664</v>
      </c>
    </row>
    <row r="166" spans="1:31" ht="12.25">
      <c r="A166" s="174"/>
      <c r="B166" s="23"/>
      <c r="C166" s="84"/>
      <c r="D166" s="100"/>
      <c r="E166" s="98"/>
      <c r="F166" s="84"/>
      <c r="G166" s="127"/>
      <c r="H166" s="180"/>
      <c r="I166" s="84"/>
      <c r="J166" s="92"/>
      <c r="K166" s="84"/>
      <c r="L166" s="100"/>
      <c r="M166" s="84"/>
      <c r="N166" s="98"/>
      <c r="O166" s="84"/>
      <c r="P166" s="117"/>
      <c r="Q166" s="191"/>
      <c r="R166" s="143"/>
      <c r="S166" s="143"/>
      <c r="T166" s="199"/>
      <c r="U166" s="144"/>
      <c r="V166" s="144"/>
      <c r="W166" s="145"/>
      <c r="X166" s="145"/>
      <c r="Y166" s="149"/>
      <c r="Z166" s="131"/>
      <c r="AA166" s="131"/>
      <c r="AB166" s="131"/>
      <c r="AC166" s="131"/>
      <c r="AE166" s="131"/>
    </row>
    <row r="167" spans="1:44" ht="13" thickBot="1">
      <c r="A167" s="174"/>
      <c r="B167" s="23"/>
      <c r="C167" s="84"/>
      <c r="D167" s="192"/>
      <c r="E167" s="139"/>
      <c r="F167" s="139"/>
      <c r="G167" s="193"/>
      <c r="H167" s="23"/>
      <c r="I167" s="23"/>
      <c r="J167" s="23"/>
      <c r="R167" s="143" t="s">
        <v>366</v>
      </c>
      <c r="S167" s="143"/>
      <c r="T167" s="200">
        <v>143</v>
      </c>
      <c r="U167" s="144">
        <f>W167*T167</f>
        <v>2193048</v>
      </c>
      <c r="V167" s="144"/>
      <c r="W167" s="147">
        <v>15336</v>
      </c>
      <c r="X167" s="147"/>
      <c r="Y167" s="150">
        <v>-0.026409344845099</v>
      </c>
      <c r="Z167" s="131" t="s">
        <v>495</v>
      </c>
      <c r="AA167" s="163" t="s">
        <v>324</v>
      </c>
      <c r="AB167" s="160">
        <v>-15</v>
      </c>
      <c r="AC167" s="161">
        <v>0.2857142857142857</v>
      </c>
      <c r="AD167" s="162">
        <v>11</v>
      </c>
      <c r="AE167" s="131" t="s">
        <v>495</v>
      </c>
      <c r="AF167" s="163" t="s">
        <v>324</v>
      </c>
      <c r="AG167" s="160">
        <v>-1</v>
      </c>
      <c r="AH167" s="164">
        <v>0.8571428571428571</v>
      </c>
      <c r="AI167" s="162">
        <v>4.75</v>
      </c>
      <c r="AJ167" s="131" t="s">
        <v>495</v>
      </c>
      <c r="AK167" s="163" t="s">
        <v>324</v>
      </c>
      <c r="AL167" s="160">
        <v>-16</v>
      </c>
      <c r="AM167" s="161">
        <v>0.42857142857142855</v>
      </c>
      <c r="AN167" s="162">
        <v>15.75</v>
      </c>
      <c r="AP167" s="39"/>
      <c r="AQ167" s="40"/>
      <c r="AR167" s="120"/>
    </row>
    <row r="168" spans="1:48" ht="13" thickBot="1">
      <c r="A168" s="175"/>
      <c r="R168" s="143"/>
      <c r="S168" s="143"/>
      <c r="T168" s="200"/>
      <c r="U168" s="144"/>
      <c r="V168" s="144"/>
      <c r="W168" s="147"/>
      <c r="X168" s="147"/>
      <c r="Y168" s="150"/>
      <c r="Z168" s="131" t="s">
        <v>495</v>
      </c>
      <c r="AA168" s="163" t="s">
        <v>423</v>
      </c>
      <c r="AB168" s="160">
        <v>-4</v>
      </c>
      <c r="AC168" s="172">
        <v>0.9733333333333334</v>
      </c>
      <c r="AD168" s="173">
        <v>153.75</v>
      </c>
      <c r="AE168" s="131" t="s">
        <v>495</v>
      </c>
      <c r="AF168" s="163" t="s">
        <v>423</v>
      </c>
      <c r="AG168" s="160">
        <v>122</v>
      </c>
      <c r="AH168" s="164">
        <v>1.6009852216748768</v>
      </c>
      <c r="AI168" s="162">
        <v>256</v>
      </c>
      <c r="AJ168" s="1" t="s">
        <v>495</v>
      </c>
      <c r="AK168" s="163" t="s">
        <v>423</v>
      </c>
      <c r="AL168" s="160">
        <v>118</v>
      </c>
      <c r="AM168" s="161">
        <v>1.3342776203966005</v>
      </c>
      <c r="AN168" s="162">
        <v>409.75</v>
      </c>
      <c r="AP168" s="165" t="s">
        <v>366</v>
      </c>
      <c r="AQ168" s="166" t="s">
        <v>367</v>
      </c>
      <c r="AR168" s="167">
        <v>69.66666666666667</v>
      </c>
      <c r="AT168" s="165" t="s">
        <v>366</v>
      </c>
      <c r="AU168" s="166" t="s">
        <v>367</v>
      </c>
      <c r="AV168" s="167">
        <v>92.66666666666667</v>
      </c>
    </row>
    <row r="169" spans="1:31" ht="12.25">
      <c r="A169" s="175"/>
      <c r="C169" s="1"/>
      <c r="D169" s="1"/>
      <c r="E169" s="1"/>
      <c r="F169" s="1"/>
      <c r="G169" s="1"/>
      <c r="R169" s="131"/>
      <c r="S169" s="131"/>
      <c r="T169" s="198"/>
      <c r="U169" s="131"/>
      <c r="V169" s="131"/>
      <c r="W169" s="131"/>
      <c r="X169" s="131"/>
      <c r="Y169" s="131"/>
      <c r="Z169" s="131"/>
      <c r="AA169" s="131"/>
      <c r="AB169" s="131"/>
      <c r="AC169" s="131"/>
      <c r="AE169" s="131"/>
    </row>
    <row r="170" spans="1:31" ht="12.25">
      <c r="A170" s="175"/>
      <c r="C170" s="1"/>
      <c r="D170" s="1"/>
      <c r="E170" s="1"/>
      <c r="F170" s="1"/>
      <c r="G170" s="1"/>
      <c r="R170" s="131"/>
      <c r="S170" s="131"/>
      <c r="T170" s="198"/>
      <c r="U170" s="131"/>
      <c r="V170" s="131"/>
      <c r="W170" s="131"/>
      <c r="X170" s="131"/>
      <c r="Y170" s="131"/>
      <c r="Z170" s="131"/>
      <c r="AA170" s="131"/>
      <c r="AB170" s="131"/>
      <c r="AC170" s="131"/>
      <c r="AE170" s="131"/>
    </row>
    <row r="171" spans="1:31" ht="12.25">
      <c r="A171" s="175"/>
      <c r="C171" s="1"/>
      <c r="D171" s="1"/>
      <c r="E171" s="1"/>
      <c r="F171" s="1"/>
      <c r="G171" s="1"/>
      <c r="R171" s="131"/>
      <c r="S171" s="131"/>
      <c r="T171" s="198"/>
      <c r="U171" s="131"/>
      <c r="V171" s="131"/>
      <c r="W171" s="131"/>
      <c r="X171" s="131"/>
      <c r="Y171" s="131"/>
      <c r="Z171" s="131"/>
      <c r="AA171" s="131"/>
      <c r="AB171" s="131"/>
      <c r="AC171" s="131"/>
      <c r="AE171" s="131"/>
    </row>
    <row r="172" spans="1:31" ht="12.25">
      <c r="A172" s="175"/>
      <c r="C172" s="1"/>
      <c r="D172" s="1"/>
      <c r="E172" s="1"/>
      <c r="F172" s="1"/>
      <c r="G172" s="1"/>
      <c r="R172" s="131"/>
      <c r="S172" s="131"/>
      <c r="T172" s="198"/>
      <c r="U172" s="131"/>
      <c r="V172" s="131"/>
      <c r="W172" s="131"/>
      <c r="X172" s="131"/>
      <c r="Y172" s="131"/>
      <c r="Z172" s="131"/>
      <c r="AA172" s="131"/>
      <c r="AB172" s="131"/>
      <c r="AC172" s="131"/>
      <c r="AE172" s="131"/>
    </row>
    <row r="173" spans="1:31" ht="12.25">
      <c r="A173" s="175"/>
      <c r="C173" s="1"/>
      <c r="D173" s="1"/>
      <c r="E173" s="1"/>
      <c r="F173" s="1"/>
      <c r="G173" s="1"/>
      <c r="R173" s="131"/>
      <c r="S173" s="131"/>
      <c r="T173" s="198"/>
      <c r="U173" s="131"/>
      <c r="V173" s="131"/>
      <c r="W173" s="131"/>
      <c r="X173" s="131"/>
      <c r="Y173" s="131"/>
      <c r="Z173" s="131"/>
      <c r="AA173" s="131"/>
      <c r="AB173" s="131"/>
      <c r="AC173" s="131"/>
      <c r="AE173" s="131"/>
    </row>
    <row r="174" spans="1:31" ht="12.25">
      <c r="A174" s="175"/>
      <c r="C174" s="1"/>
      <c r="D174" s="1"/>
      <c r="E174" s="1"/>
      <c r="F174" s="1"/>
      <c r="G174" s="1"/>
      <c r="R174" s="131"/>
      <c r="S174" s="131"/>
      <c r="T174" s="198"/>
      <c r="U174" s="131"/>
      <c r="V174" s="131"/>
      <c r="W174" s="131"/>
      <c r="X174" s="131"/>
      <c r="Y174" s="131"/>
      <c r="Z174" s="131"/>
      <c r="AA174" s="131"/>
      <c r="AB174" s="131"/>
      <c r="AC174" s="131"/>
      <c r="AE174" s="131"/>
    </row>
    <row r="175" spans="1:31" ht="12.25">
      <c r="A175" s="175"/>
      <c r="C175" s="1"/>
      <c r="D175" s="1"/>
      <c r="E175" s="1"/>
      <c r="F175" s="1"/>
      <c r="G175" s="1"/>
      <c r="R175" s="131"/>
      <c r="S175" s="131"/>
      <c r="T175" s="198"/>
      <c r="U175" s="131"/>
      <c r="V175" s="131"/>
      <c r="W175" s="131"/>
      <c r="X175" s="131"/>
      <c r="Y175" s="131"/>
      <c r="Z175" s="131"/>
      <c r="AA175" s="131"/>
      <c r="AB175" s="131"/>
      <c r="AC175" s="131"/>
      <c r="AE175" s="131"/>
    </row>
    <row r="176" spans="1:31" ht="12.25">
      <c r="A176" s="175"/>
      <c r="C176" s="1"/>
      <c r="D176" s="1"/>
      <c r="E176" s="1"/>
      <c r="F176" s="1"/>
      <c r="G176" s="1"/>
      <c r="R176" s="131"/>
      <c r="S176" s="131"/>
      <c r="T176" s="198"/>
      <c r="U176" s="131"/>
      <c r="V176" s="131"/>
      <c r="W176" s="131"/>
      <c r="X176" s="131"/>
      <c r="Y176" s="131"/>
      <c r="Z176" s="131"/>
      <c r="AA176" s="131"/>
      <c r="AB176" s="131"/>
      <c r="AC176" s="131"/>
      <c r="AE176" s="131"/>
    </row>
    <row r="177" spans="1:31" ht="12.25">
      <c r="A177" s="175"/>
      <c r="C177" s="1"/>
      <c r="D177" s="1"/>
      <c r="E177" s="1"/>
      <c r="F177" s="1"/>
      <c r="G177" s="1"/>
      <c r="R177" s="131"/>
      <c r="S177" s="131"/>
      <c r="T177" s="198"/>
      <c r="U177" s="131"/>
      <c r="V177" s="131"/>
      <c r="W177" s="131"/>
      <c r="X177" s="131"/>
      <c r="Y177" s="131"/>
      <c r="Z177" s="131"/>
      <c r="AA177" s="131"/>
      <c r="AB177" s="131"/>
      <c r="AC177" s="131"/>
      <c r="AE177" s="131"/>
    </row>
    <row r="178" spans="1:31" ht="12.25">
      <c r="A178" s="175"/>
      <c r="C178" s="1"/>
      <c r="D178" s="1"/>
      <c r="E178" s="1"/>
      <c r="F178" s="1"/>
      <c r="G178" s="1"/>
      <c r="R178" s="131"/>
      <c r="S178" s="131"/>
      <c r="T178" s="198"/>
      <c r="U178" s="131"/>
      <c r="V178" s="131"/>
      <c r="W178" s="131"/>
      <c r="X178" s="131"/>
      <c r="Y178" s="131"/>
      <c r="Z178" s="131"/>
      <c r="AA178" s="131"/>
      <c r="AB178" s="131"/>
      <c r="AC178" s="131"/>
      <c r="AE178" s="131"/>
    </row>
    <row r="179" spans="1:31" ht="12.25">
      <c r="A179" s="175"/>
      <c r="C179" s="1"/>
      <c r="D179" s="1"/>
      <c r="E179" s="1"/>
      <c r="F179" s="1"/>
      <c r="G179" s="1"/>
      <c r="R179" s="131"/>
      <c r="S179" s="131"/>
      <c r="T179" s="198"/>
      <c r="U179" s="131"/>
      <c r="V179" s="131"/>
      <c r="W179" s="131"/>
      <c r="X179" s="131"/>
      <c r="Y179" s="131"/>
      <c r="Z179" s="131"/>
      <c r="AA179" s="131"/>
      <c r="AB179" s="131"/>
      <c r="AC179" s="131"/>
      <c r="AE179" s="131"/>
    </row>
    <row r="180" spans="1:31" ht="12.25">
      <c r="A180" s="175"/>
      <c r="C180" s="1"/>
      <c r="D180" s="1"/>
      <c r="E180" s="1"/>
      <c r="F180" s="1"/>
      <c r="G180" s="1"/>
      <c r="R180" s="131"/>
      <c r="S180" s="131"/>
      <c r="T180" s="198"/>
      <c r="U180" s="131"/>
      <c r="V180" s="131"/>
      <c r="W180" s="131"/>
      <c r="X180" s="131"/>
      <c r="Y180" s="131"/>
      <c r="Z180" s="131"/>
      <c r="AA180" s="131"/>
      <c r="AB180" s="131"/>
      <c r="AC180" s="131"/>
      <c r="AE180" s="131"/>
    </row>
    <row r="181" spans="1:31" ht="12.25">
      <c r="A181" s="175"/>
      <c r="C181" s="1"/>
      <c r="D181" s="1"/>
      <c r="E181" s="1"/>
      <c r="F181" s="1"/>
      <c r="G181" s="1"/>
      <c r="R181" s="131"/>
      <c r="S181" s="131"/>
      <c r="T181" s="198"/>
      <c r="U181" s="131"/>
      <c r="V181" s="131"/>
      <c r="W181" s="131"/>
      <c r="X181" s="131"/>
      <c r="Y181" s="131"/>
      <c r="Z181" s="131"/>
      <c r="AA181" s="131"/>
      <c r="AB181" s="131"/>
      <c r="AC181" s="131"/>
      <c r="AE181" s="131"/>
    </row>
    <row r="182" spans="1:31" ht="12.25">
      <c r="A182" s="175"/>
      <c r="C182" s="1"/>
      <c r="D182" s="1"/>
      <c r="E182" s="1"/>
      <c r="F182" s="1"/>
      <c r="G182" s="1"/>
      <c r="R182" s="131"/>
      <c r="S182" s="131"/>
      <c r="T182" s="198"/>
      <c r="U182" s="131"/>
      <c r="V182" s="131"/>
      <c r="W182" s="131"/>
      <c r="X182" s="131"/>
      <c r="Y182" s="131"/>
      <c r="Z182" s="131"/>
      <c r="AA182" s="131"/>
      <c r="AB182" s="131"/>
      <c r="AC182" s="131"/>
      <c r="AE182" s="131"/>
    </row>
    <row r="183" spans="1:31" ht="12.25">
      <c r="A183" s="175"/>
      <c r="C183" s="1"/>
      <c r="D183" s="1"/>
      <c r="E183" s="1"/>
      <c r="F183" s="1"/>
      <c r="G183" s="1"/>
      <c r="R183" s="131"/>
      <c r="S183" s="131"/>
      <c r="T183" s="198"/>
      <c r="U183" s="131"/>
      <c r="V183" s="131"/>
      <c r="W183" s="131"/>
      <c r="X183" s="131"/>
      <c r="Y183" s="131"/>
      <c r="Z183" s="131"/>
      <c r="AA183" s="131"/>
      <c r="AB183" s="131"/>
      <c r="AC183" s="131"/>
      <c r="AE183" s="131"/>
    </row>
    <row r="184" spans="1:31" ht="12.25">
      <c r="A184" s="175"/>
      <c r="C184" s="1"/>
      <c r="D184" s="1"/>
      <c r="E184" s="1"/>
      <c r="F184" s="1"/>
      <c r="G184" s="1"/>
      <c r="R184" s="131"/>
      <c r="S184" s="131"/>
      <c r="T184" s="198"/>
      <c r="U184" s="131"/>
      <c r="V184" s="131"/>
      <c r="W184" s="131"/>
      <c r="X184" s="131"/>
      <c r="Y184" s="131"/>
      <c r="Z184" s="131"/>
      <c r="AA184" s="131"/>
      <c r="AB184" s="131"/>
      <c r="AC184" s="131"/>
      <c r="AE184" s="131"/>
    </row>
    <row r="185" spans="1:31" ht="12.25">
      <c r="A185" s="175"/>
      <c r="C185" s="1"/>
      <c r="D185" s="1"/>
      <c r="E185" s="1"/>
      <c r="F185" s="1"/>
      <c r="G185" s="1"/>
      <c r="R185" s="131"/>
      <c r="S185" s="131"/>
      <c r="T185" s="198"/>
      <c r="U185" s="131"/>
      <c r="V185" s="131"/>
      <c r="W185" s="131"/>
      <c r="X185" s="131"/>
      <c r="Y185" s="131"/>
      <c r="Z185" s="131"/>
      <c r="AE185" s="131"/>
    </row>
    <row r="186" spans="1:31" ht="12.25">
      <c r="A186" s="175"/>
      <c r="C186" s="1"/>
      <c r="D186" s="1"/>
      <c r="E186" s="1"/>
      <c r="F186" s="1"/>
      <c r="G186" s="1"/>
      <c r="R186" s="131"/>
      <c r="S186" s="131"/>
      <c r="T186" s="198"/>
      <c r="U186" s="131"/>
      <c r="V186" s="131"/>
      <c r="W186" s="131"/>
      <c r="X186" s="131"/>
      <c r="Y186" s="131"/>
      <c r="AE186" s="131"/>
    </row>
    <row r="187" spans="1:31" ht="12.25">
      <c r="A187" s="175"/>
      <c r="C187" s="1"/>
      <c r="D187" s="1"/>
      <c r="E187" s="1"/>
      <c r="F187" s="1"/>
      <c r="G187" s="1"/>
      <c r="R187" s="131"/>
      <c r="S187" s="131"/>
      <c r="T187" s="198"/>
      <c r="U187" s="131"/>
      <c r="V187" s="131"/>
      <c r="W187" s="131"/>
      <c r="X187" s="131"/>
      <c r="Y187" s="131"/>
      <c r="AE187" s="131"/>
    </row>
    <row r="188" spans="1:31" ht="12.25">
      <c r="A188" s="175"/>
      <c r="C188" s="1"/>
      <c r="D188" s="1"/>
      <c r="E188" s="1"/>
      <c r="F188" s="1"/>
      <c r="G188" s="1"/>
      <c r="R188" s="131"/>
      <c r="S188" s="131"/>
      <c r="T188" s="198"/>
      <c r="U188" s="131"/>
      <c r="V188" s="131"/>
      <c r="W188" s="131"/>
      <c r="X188" s="131"/>
      <c r="Y188" s="131"/>
      <c r="AE188" s="131"/>
    </row>
    <row r="189" spans="1:31" ht="12.25">
      <c r="A189" s="175"/>
      <c r="C189" s="1"/>
      <c r="D189" s="1"/>
      <c r="E189" s="1"/>
      <c r="F189" s="1"/>
      <c r="G189" s="1"/>
      <c r="R189" s="131"/>
      <c r="S189" s="131"/>
      <c r="T189" s="198"/>
      <c r="U189" s="131"/>
      <c r="V189" s="131"/>
      <c r="W189" s="131"/>
      <c r="X189" s="131"/>
      <c r="Y189" s="131"/>
      <c r="AE189" s="131"/>
    </row>
    <row r="190" spans="1:31" ht="12.25">
      <c r="A190" s="175"/>
      <c r="C190" s="1"/>
      <c r="D190" s="1"/>
      <c r="E190" s="1"/>
      <c r="F190" s="1"/>
      <c r="G190" s="1"/>
      <c r="R190" s="131"/>
      <c r="S190" s="131"/>
      <c r="T190" s="198"/>
      <c r="U190" s="131"/>
      <c r="V190" s="131"/>
      <c r="W190" s="131"/>
      <c r="X190" s="131"/>
      <c r="Y190" s="131"/>
      <c r="AE190" s="131"/>
    </row>
    <row r="191" spans="1:31" ht="12.25">
      <c r="A191" s="175"/>
      <c r="C191" s="1"/>
      <c r="D191" s="1"/>
      <c r="E191" s="1"/>
      <c r="F191" s="1"/>
      <c r="G191" s="1"/>
      <c r="R191" s="131"/>
      <c r="S191" s="131"/>
      <c r="T191" s="198"/>
      <c r="U191" s="131"/>
      <c r="V191" s="131"/>
      <c r="W191" s="131"/>
      <c r="X191" s="131"/>
      <c r="Y191" s="131"/>
      <c r="AE191" s="131"/>
    </row>
    <row r="192" spans="1:31" ht="12.25">
      <c r="A192" s="175"/>
      <c r="C192" s="1"/>
      <c r="D192" s="1"/>
      <c r="E192" s="1"/>
      <c r="F192" s="1"/>
      <c r="G192" s="1"/>
      <c r="R192" s="131"/>
      <c r="S192" s="131"/>
      <c r="T192" s="198"/>
      <c r="U192" s="131"/>
      <c r="V192" s="131"/>
      <c r="W192" s="131"/>
      <c r="X192" s="131"/>
      <c r="Y192" s="131"/>
      <c r="AE192" s="131"/>
    </row>
    <row r="193" spans="1:25" ht="12.25">
      <c r="A193" s="175"/>
      <c r="C193" s="1"/>
      <c r="D193" s="1"/>
      <c r="E193" s="1"/>
      <c r="F193" s="1"/>
      <c r="G193" s="1"/>
      <c r="R193" s="131"/>
      <c r="S193" s="131"/>
      <c r="T193" s="198"/>
      <c r="U193" s="131"/>
      <c r="V193" s="131"/>
      <c r="W193" s="131"/>
      <c r="X193" s="131"/>
      <c r="Y193" s="131"/>
    </row>
    <row r="194" spans="1:25" ht="12.25">
      <c r="A194" s="175"/>
      <c r="C194" s="1"/>
      <c r="D194" s="1"/>
      <c r="E194" s="1"/>
      <c r="F194" s="1"/>
      <c r="G194" s="1"/>
      <c r="R194" s="131"/>
      <c r="S194" s="131"/>
      <c r="T194" s="198"/>
      <c r="U194" s="131"/>
      <c r="V194" s="131"/>
      <c r="W194" s="131"/>
      <c r="X194" s="131"/>
      <c r="Y194" s="131"/>
    </row>
    <row r="195" spans="1:25" ht="12.25">
      <c r="A195" s="175"/>
      <c r="C195" s="1"/>
      <c r="D195" s="1"/>
      <c r="E195" s="1"/>
      <c r="F195" s="1"/>
      <c r="G195" s="1"/>
      <c r="R195" s="131"/>
      <c r="S195" s="131"/>
      <c r="T195" s="198"/>
      <c r="U195" s="131"/>
      <c r="V195" s="131"/>
      <c r="W195" s="131"/>
      <c r="X195" s="131"/>
      <c r="Y195" s="131"/>
    </row>
    <row r="196" spans="1:25" ht="12.25">
      <c r="A196" s="175"/>
      <c r="C196" s="1"/>
      <c r="D196" s="1"/>
      <c r="E196" s="1"/>
      <c r="F196" s="1"/>
      <c r="G196" s="1"/>
      <c r="R196" s="131"/>
      <c r="S196" s="131"/>
      <c r="T196" s="198"/>
      <c r="U196" s="131"/>
      <c r="V196" s="131"/>
      <c r="W196" s="131"/>
      <c r="X196" s="131"/>
      <c r="Y196" s="131"/>
    </row>
    <row r="197" spans="1:25" ht="12.25">
      <c r="A197" s="175"/>
      <c r="C197" s="1"/>
      <c r="D197" s="1"/>
      <c r="E197" s="1"/>
      <c r="F197" s="1"/>
      <c r="G197" s="1"/>
      <c r="R197" s="131"/>
      <c r="S197" s="131"/>
      <c r="T197" s="198"/>
      <c r="U197" s="131"/>
      <c r="V197" s="131"/>
      <c r="W197" s="131"/>
      <c r="X197" s="131"/>
      <c r="Y197" s="131"/>
    </row>
    <row r="198" spans="1:25" ht="12.25">
      <c r="A198" s="175"/>
      <c r="C198" s="1"/>
      <c r="D198" s="1"/>
      <c r="E198" s="1"/>
      <c r="F198" s="1"/>
      <c r="G198" s="1"/>
      <c r="R198" s="131"/>
      <c r="S198" s="131"/>
      <c r="T198" s="198"/>
      <c r="U198" s="131"/>
      <c r="V198" s="131"/>
      <c r="W198" s="131"/>
      <c r="X198" s="131"/>
      <c r="Y198" s="131"/>
    </row>
    <row r="199" spans="1:25" ht="12.25">
      <c r="A199" s="175"/>
      <c r="C199" s="1"/>
      <c r="D199" s="1"/>
      <c r="E199" s="1"/>
      <c r="F199" s="1"/>
      <c r="G199" s="1"/>
      <c r="R199" s="131"/>
      <c r="S199" s="131"/>
      <c r="T199" s="198"/>
      <c r="U199" s="131"/>
      <c r="V199" s="131"/>
      <c r="W199" s="131"/>
      <c r="X199" s="131"/>
      <c r="Y199" s="131"/>
    </row>
    <row r="200" spans="1:25" ht="12.25">
      <c r="A200" s="175"/>
      <c r="C200" s="1"/>
      <c r="D200" s="1"/>
      <c r="E200" s="1"/>
      <c r="F200" s="1"/>
      <c r="G200" s="1"/>
      <c r="R200" s="131"/>
      <c r="S200" s="131"/>
      <c r="T200" s="198"/>
      <c r="U200" s="131"/>
      <c r="V200" s="131"/>
      <c r="W200" s="131"/>
      <c r="X200" s="131"/>
      <c r="Y200" s="131"/>
    </row>
    <row r="201" spans="1:25" ht="12.25">
      <c r="A201" s="175"/>
      <c r="C201" s="1"/>
      <c r="D201" s="1"/>
      <c r="E201" s="1"/>
      <c r="F201" s="1"/>
      <c r="G201" s="1"/>
      <c r="R201" s="131"/>
      <c r="S201" s="131"/>
      <c r="T201" s="198"/>
      <c r="U201" s="131"/>
      <c r="V201" s="131"/>
      <c r="W201" s="131"/>
      <c r="X201" s="131"/>
      <c r="Y201" s="131"/>
    </row>
    <row r="202" spans="1:25" ht="12.25">
      <c r="A202" s="175"/>
      <c r="C202" s="1"/>
      <c r="D202" s="1"/>
      <c r="E202" s="1"/>
      <c r="F202" s="1"/>
      <c r="G202" s="1"/>
      <c r="R202" s="131"/>
      <c r="S202" s="131"/>
      <c r="T202" s="198"/>
      <c r="U202" s="131"/>
      <c r="V202" s="131"/>
      <c r="W202" s="131"/>
      <c r="X202" s="131"/>
      <c r="Y202" s="131"/>
    </row>
    <row r="203" spans="1:25" ht="12.25">
      <c r="A203" s="175"/>
      <c r="C203" s="1"/>
      <c r="D203" s="1"/>
      <c r="E203" s="1"/>
      <c r="F203" s="1"/>
      <c r="G203" s="1"/>
      <c r="R203" s="131"/>
      <c r="S203" s="131"/>
      <c r="T203" s="198"/>
      <c r="U203" s="131"/>
      <c r="V203" s="131"/>
      <c r="W203" s="131"/>
      <c r="X203" s="131"/>
      <c r="Y203" s="131"/>
    </row>
    <row r="204" spans="1:25" ht="12.25">
      <c r="A204" s="175"/>
      <c r="C204" s="1"/>
      <c r="D204" s="1"/>
      <c r="E204" s="1"/>
      <c r="F204" s="1"/>
      <c r="G204" s="1"/>
      <c r="R204" s="131"/>
      <c r="S204" s="131"/>
      <c r="T204" s="198"/>
      <c r="U204" s="131"/>
      <c r="V204" s="131"/>
      <c r="W204" s="131"/>
      <c r="X204" s="131"/>
      <c r="Y204" s="131"/>
    </row>
    <row r="205" spans="1:25" ht="12.25">
      <c r="A205" s="175"/>
      <c r="C205" s="1"/>
      <c r="D205" s="1"/>
      <c r="E205" s="1"/>
      <c r="F205" s="1"/>
      <c r="G205" s="1"/>
      <c r="R205" s="131"/>
      <c r="S205" s="131"/>
      <c r="T205" s="198"/>
      <c r="U205" s="131"/>
      <c r="V205" s="131"/>
      <c r="W205" s="131"/>
      <c r="X205" s="131"/>
      <c r="Y205" s="131"/>
    </row>
    <row r="206" spans="1:25" ht="12.25">
      <c r="A206" s="175"/>
      <c r="C206" s="1"/>
      <c r="D206" s="1"/>
      <c r="E206" s="1"/>
      <c r="F206" s="1"/>
      <c r="G206" s="1"/>
      <c r="R206" s="131"/>
      <c r="S206" s="131"/>
      <c r="T206" s="198"/>
      <c r="U206" s="131"/>
      <c r="V206" s="131"/>
      <c r="W206" s="131"/>
      <c r="X206" s="131"/>
      <c r="Y206" s="131"/>
    </row>
    <row r="207" spans="1:25" ht="12.25">
      <c r="A207" s="175"/>
      <c r="C207" s="1"/>
      <c r="D207" s="1"/>
      <c r="E207" s="1"/>
      <c r="F207" s="1"/>
      <c r="G207" s="1"/>
      <c r="R207" s="131"/>
      <c r="S207" s="131"/>
      <c r="T207" s="198"/>
      <c r="U207" s="131"/>
      <c r="V207" s="131"/>
      <c r="W207" s="131"/>
      <c r="X207" s="131"/>
      <c r="Y207" s="131"/>
    </row>
    <row r="208" spans="1:25" ht="12.25">
      <c r="A208" s="175"/>
      <c r="C208" s="1"/>
      <c r="D208" s="1"/>
      <c r="E208" s="1"/>
      <c r="F208" s="1"/>
      <c r="G208" s="1"/>
      <c r="R208" s="131"/>
      <c r="S208" s="131"/>
      <c r="T208" s="198"/>
      <c r="U208" s="131"/>
      <c r="V208" s="131"/>
      <c r="W208" s="131"/>
      <c r="X208" s="131"/>
      <c r="Y208" s="131"/>
    </row>
    <row r="209" spans="1:25" ht="12.25">
      <c r="A209" s="175"/>
      <c r="C209" s="1"/>
      <c r="D209" s="1"/>
      <c r="E209" s="1"/>
      <c r="F209" s="1"/>
      <c r="G209" s="1"/>
      <c r="R209" s="131"/>
      <c r="S209" s="131"/>
      <c r="T209" s="198"/>
      <c r="U209" s="131"/>
      <c r="V209" s="131"/>
      <c r="W209" s="131"/>
      <c r="X209" s="131"/>
      <c r="Y209" s="131"/>
    </row>
    <row r="210" spans="1:25" ht="12.25">
      <c r="A210" s="175"/>
      <c r="C210" s="1"/>
      <c r="D210" s="1"/>
      <c r="E210" s="1"/>
      <c r="F210" s="1"/>
      <c r="G210" s="1"/>
      <c r="R210" s="131"/>
      <c r="S210" s="131"/>
      <c r="T210" s="198"/>
      <c r="U210" s="131"/>
      <c r="V210" s="131"/>
      <c r="W210" s="131"/>
      <c r="X210" s="131"/>
      <c r="Y210" s="131"/>
    </row>
    <row r="211" spans="1:25" ht="12.25">
      <c r="A211" s="175"/>
      <c r="C211" s="1"/>
      <c r="D211" s="1"/>
      <c r="E211" s="1"/>
      <c r="F211" s="1"/>
      <c r="G211" s="1"/>
      <c r="R211" s="131"/>
      <c r="S211" s="131"/>
      <c r="T211" s="198"/>
      <c r="U211" s="131"/>
      <c r="V211" s="131"/>
      <c r="W211" s="131"/>
      <c r="X211" s="131"/>
      <c r="Y211" s="131"/>
    </row>
    <row r="212" spans="1:25" ht="12.25">
      <c r="A212" s="175"/>
      <c r="C212" s="1"/>
      <c r="D212" s="1"/>
      <c r="E212" s="1"/>
      <c r="F212" s="1"/>
      <c r="G212" s="1"/>
      <c r="R212" s="131"/>
      <c r="S212" s="131"/>
      <c r="T212" s="198"/>
      <c r="U212" s="131"/>
      <c r="V212" s="131"/>
      <c r="W212" s="131"/>
      <c r="X212" s="131"/>
      <c r="Y212" s="131"/>
    </row>
    <row r="213" spans="1:25" ht="12.25">
      <c r="A213" s="175"/>
      <c r="C213" s="1"/>
      <c r="D213" s="1"/>
      <c r="E213" s="1"/>
      <c r="F213" s="1"/>
      <c r="G213" s="1"/>
      <c r="R213" s="131"/>
      <c r="S213" s="131"/>
      <c r="T213" s="198"/>
      <c r="U213" s="131"/>
      <c r="V213" s="131"/>
      <c r="W213" s="131"/>
      <c r="X213" s="131"/>
      <c r="Y213" s="131"/>
    </row>
    <row r="214" spans="1:25" ht="12.25">
      <c r="A214" s="175"/>
      <c r="C214" s="1"/>
      <c r="D214" s="1"/>
      <c r="E214" s="1"/>
      <c r="F214" s="1"/>
      <c r="G214" s="1"/>
      <c r="R214" s="131"/>
      <c r="S214" s="131"/>
      <c r="T214" s="198"/>
      <c r="U214" s="131"/>
      <c r="V214" s="131"/>
      <c r="W214" s="131"/>
      <c r="X214" s="131"/>
      <c r="Y214" s="131"/>
    </row>
    <row r="215" spans="1:25" ht="12.25">
      <c r="A215" s="175"/>
      <c r="C215" s="1"/>
      <c r="D215" s="1"/>
      <c r="E215" s="1"/>
      <c r="F215" s="1"/>
      <c r="G215" s="1"/>
      <c r="R215" s="131"/>
      <c r="S215" s="131"/>
      <c r="T215" s="198"/>
      <c r="U215" s="131"/>
      <c r="V215" s="131"/>
      <c r="W215" s="131"/>
      <c r="X215" s="131"/>
      <c r="Y215" s="131"/>
    </row>
    <row r="216" spans="1:25" ht="12.25">
      <c r="A216" s="175"/>
      <c r="C216" s="1"/>
      <c r="D216" s="1"/>
      <c r="E216" s="1"/>
      <c r="F216" s="1"/>
      <c r="G216" s="1"/>
      <c r="R216" s="131"/>
      <c r="S216" s="131"/>
      <c r="T216" s="198"/>
      <c r="U216" s="131"/>
      <c r="V216" s="131"/>
      <c r="W216" s="131"/>
      <c r="X216" s="131"/>
      <c r="Y216" s="131"/>
    </row>
    <row r="217" spans="1:25" ht="12.25">
      <c r="A217" s="175"/>
      <c r="C217" s="1"/>
      <c r="D217" s="1"/>
      <c r="E217" s="1"/>
      <c r="F217" s="1"/>
      <c r="G217" s="1"/>
      <c r="R217" s="131"/>
      <c r="S217" s="131"/>
      <c r="T217" s="198"/>
      <c r="U217" s="131"/>
      <c r="V217" s="131"/>
      <c r="W217" s="131"/>
      <c r="X217" s="131"/>
      <c r="Y217" s="131"/>
    </row>
    <row r="218" spans="1:25" ht="12.25">
      <c r="A218" s="175"/>
      <c r="C218" s="1"/>
      <c r="D218" s="1"/>
      <c r="E218" s="1"/>
      <c r="F218" s="1"/>
      <c r="G218" s="1"/>
      <c r="R218" s="131"/>
      <c r="S218" s="131"/>
      <c r="T218" s="198"/>
      <c r="U218" s="131"/>
      <c r="V218" s="131"/>
      <c r="W218" s="131"/>
      <c r="X218" s="131"/>
      <c r="Y218" s="131"/>
    </row>
    <row r="219" spans="1:25" ht="12.25">
      <c r="A219" s="175"/>
      <c r="C219" s="1"/>
      <c r="D219" s="1"/>
      <c r="E219" s="1"/>
      <c r="F219" s="1"/>
      <c r="G219" s="1"/>
      <c r="R219" s="131"/>
      <c r="S219" s="131"/>
      <c r="T219" s="198"/>
      <c r="U219" s="131"/>
      <c r="V219" s="131"/>
      <c r="W219" s="131"/>
      <c r="X219" s="131"/>
      <c r="Y219" s="131"/>
    </row>
    <row r="220" spans="1:25" ht="12.25">
      <c r="A220" s="175"/>
      <c r="C220" s="1"/>
      <c r="D220" s="1"/>
      <c r="E220" s="1"/>
      <c r="F220" s="1"/>
      <c r="G220" s="1"/>
      <c r="R220" s="131"/>
      <c r="S220" s="131"/>
      <c r="T220" s="198"/>
      <c r="U220" s="131"/>
      <c r="V220" s="131"/>
      <c r="W220" s="131"/>
      <c r="X220" s="131"/>
      <c r="Y220" s="131"/>
    </row>
    <row r="221" spans="1:25" ht="12.25">
      <c r="A221" s="175"/>
      <c r="C221" s="1"/>
      <c r="D221" s="1"/>
      <c r="E221" s="1"/>
      <c r="F221" s="1"/>
      <c r="G221" s="1"/>
      <c r="R221" s="131"/>
      <c r="S221" s="131"/>
      <c r="T221" s="198"/>
      <c r="U221" s="131"/>
      <c r="V221" s="131"/>
      <c r="W221" s="131"/>
      <c r="X221" s="131"/>
      <c r="Y221" s="131"/>
    </row>
    <row r="222" spans="1:25" ht="12.25">
      <c r="A222" s="175"/>
      <c r="C222" s="1"/>
      <c r="D222" s="1"/>
      <c r="E222" s="1"/>
      <c r="F222" s="1"/>
      <c r="G222" s="1"/>
      <c r="R222" s="131"/>
      <c r="S222" s="131"/>
      <c r="T222" s="198"/>
      <c r="U222" s="131"/>
      <c r="V222" s="131"/>
      <c r="W222" s="131"/>
      <c r="X222" s="131"/>
      <c r="Y222" s="131"/>
    </row>
    <row r="223" spans="1:25" ht="12.25">
      <c r="A223" s="175"/>
      <c r="C223" s="1"/>
      <c r="D223" s="1"/>
      <c r="E223" s="1"/>
      <c r="F223" s="1"/>
      <c r="G223" s="1"/>
      <c r="R223" s="131"/>
      <c r="S223" s="131"/>
      <c r="T223" s="198"/>
      <c r="U223" s="131"/>
      <c r="V223" s="131"/>
      <c r="W223" s="131"/>
      <c r="X223" s="131"/>
      <c r="Y223" s="131"/>
    </row>
    <row r="224" spans="1:25" ht="12.25">
      <c r="A224" s="175"/>
      <c r="C224" s="1"/>
      <c r="D224" s="1"/>
      <c r="E224" s="1"/>
      <c r="F224" s="1"/>
      <c r="G224" s="1"/>
      <c r="R224" s="131"/>
      <c r="S224" s="131"/>
      <c r="T224" s="198"/>
      <c r="U224" s="131"/>
      <c r="V224" s="131"/>
      <c r="W224" s="131"/>
      <c r="X224" s="131"/>
      <c r="Y224" s="131"/>
    </row>
    <row r="225" spans="1:25" ht="12.25">
      <c r="A225" s="175"/>
      <c r="C225" s="1"/>
      <c r="D225" s="1"/>
      <c r="E225" s="1"/>
      <c r="F225" s="1"/>
      <c r="G225" s="1"/>
      <c r="R225" s="131"/>
      <c r="S225" s="131"/>
      <c r="T225" s="198"/>
      <c r="U225" s="131"/>
      <c r="V225" s="131"/>
      <c r="W225" s="131"/>
      <c r="X225" s="131"/>
      <c r="Y225" s="131"/>
    </row>
    <row r="226" spans="1:25" ht="12.25">
      <c r="A226" s="175"/>
      <c r="C226" s="1"/>
      <c r="D226" s="1"/>
      <c r="E226" s="1"/>
      <c r="F226" s="1"/>
      <c r="G226" s="1"/>
      <c r="R226" s="131"/>
      <c r="S226" s="131"/>
      <c r="T226" s="198"/>
      <c r="U226" s="131"/>
      <c r="V226" s="131"/>
      <c r="W226" s="131"/>
      <c r="X226" s="131"/>
      <c r="Y226" s="131"/>
    </row>
    <row r="227" spans="1:25" ht="12.25">
      <c r="A227" s="175"/>
      <c r="C227" s="1"/>
      <c r="D227" s="1"/>
      <c r="E227" s="1"/>
      <c r="F227" s="1"/>
      <c r="G227" s="1"/>
      <c r="R227" s="131"/>
      <c r="S227" s="131"/>
      <c r="T227" s="198"/>
      <c r="U227" s="131"/>
      <c r="V227" s="131"/>
      <c r="W227" s="131"/>
      <c r="X227" s="131"/>
      <c r="Y227" s="131"/>
    </row>
    <row r="228" spans="1:25" ht="12.25">
      <c r="A228" s="175"/>
      <c r="C228" s="1"/>
      <c r="D228" s="1"/>
      <c r="E228" s="1"/>
      <c r="F228" s="1"/>
      <c r="G228" s="1"/>
      <c r="R228" s="131"/>
      <c r="S228" s="131"/>
      <c r="T228" s="198"/>
      <c r="U228" s="131"/>
      <c r="V228" s="131"/>
      <c r="W228" s="131"/>
      <c r="X228" s="131"/>
      <c r="Y228" s="131"/>
    </row>
    <row r="229" spans="1:25" ht="12.25">
      <c r="A229" s="175"/>
      <c r="C229" s="1"/>
      <c r="D229" s="1"/>
      <c r="E229" s="1"/>
      <c r="F229" s="1"/>
      <c r="G229" s="1"/>
      <c r="R229" s="131"/>
      <c r="S229" s="131"/>
      <c r="T229" s="198"/>
      <c r="U229" s="131"/>
      <c r="V229" s="131"/>
      <c r="W229" s="131"/>
      <c r="X229" s="131"/>
      <c r="Y229" s="131"/>
    </row>
    <row r="230" spans="1:25" ht="12.25">
      <c r="A230" s="175"/>
      <c r="C230" s="1"/>
      <c r="D230" s="1"/>
      <c r="E230" s="1"/>
      <c r="F230" s="1"/>
      <c r="G230" s="1"/>
      <c r="R230" s="131"/>
      <c r="S230" s="131"/>
      <c r="T230" s="198"/>
      <c r="U230" s="131"/>
      <c r="V230" s="131"/>
      <c r="W230" s="131"/>
      <c r="X230" s="131"/>
      <c r="Y230" s="131"/>
    </row>
    <row r="231" ht="11.25">
      <c r="A231" s="175"/>
    </row>
    <row r="232" ht="11.25">
      <c r="A232" s="175"/>
    </row>
    <row r="233" ht="11.25">
      <c r="A233" s="175"/>
    </row>
    <row r="234" ht="11.25">
      <c r="A234" s="175"/>
    </row>
    <row r="235" ht="11.25">
      <c r="A235" s="175"/>
    </row>
    <row r="236" ht="11.25">
      <c r="A236" s="175"/>
    </row>
    <row r="237" ht="11.25">
      <c r="A237" s="175"/>
    </row>
    <row r="238" ht="11.25">
      <c r="A238" s="175"/>
    </row>
    <row r="239" ht="11.25">
      <c r="A239" s="175"/>
    </row>
    <row r="240" ht="11.25">
      <c r="A240" s="175"/>
    </row>
    <row r="241" ht="11.25">
      <c r="A241" s="175"/>
    </row>
    <row r="242" ht="11.25">
      <c r="A242" s="175"/>
    </row>
    <row r="243" ht="11.25">
      <c r="A243" s="175"/>
    </row>
    <row r="244" ht="11.25">
      <c r="A244" s="175"/>
    </row>
  </sheetData>
  <mergeCells count="13">
    <mergeCell ref="AT5:AV5"/>
    <mergeCell ref="AT6:AV6"/>
    <mergeCell ref="AK5:AO5"/>
    <mergeCell ref="AF5:AI5"/>
    <mergeCell ref="AF6:AI6"/>
    <mergeCell ref="AK6:AO6"/>
    <mergeCell ref="AP5:AS5"/>
    <mergeCell ref="AP6:AS6"/>
    <mergeCell ref="B6:G6"/>
    <mergeCell ref="H6:Q6"/>
    <mergeCell ref="W6:Y6"/>
    <mergeCell ref="AA5:AD5"/>
    <mergeCell ref="AA6:AD6"/>
  </mergeCells>
  <conditionalFormatting sqref="T66">
    <cfRule type="cellIs" priority="95" dxfId="0" operator="greaterThan">
      <formula>160</formula>
    </cfRule>
  </conditionalFormatting>
  <conditionalFormatting sqref="AB85:AB87 AB77 AB47">
    <cfRule type="top10" priority="3799" dxfId="23" rank="35" bottom="1" percent="1"/>
  </conditionalFormatting>
  <conditionalFormatting sqref="AC85:AC87 AC77 AC47">
    <cfRule type="top10" priority="3803" dxfId="23" rank="35" bottom="1" percent="1"/>
  </conditionalFormatting>
  <conditionalFormatting sqref="B160">
    <cfRule type="top10" priority="36" dxfId="0" rank="35" percent="1"/>
  </conditionalFormatting>
  <conditionalFormatting sqref="C160">
    <cfRule type="top10" priority="37" dxfId="0" rank="35" percent="1"/>
  </conditionalFormatting>
  <conditionalFormatting sqref="B147:B150 B105:B111 B8:B18 B93 B20:B57 B62:B88 B165:B166 B161:B163 B96:B101 B114:B117">
    <cfRule type="top10" priority="4027" dxfId="19" rank="35" percent="1"/>
  </conditionalFormatting>
  <conditionalFormatting sqref="C147:C150 C105:C111 C8:C18 C93 C20:C57 C62:C88 C165:C166 C161:C163 C96:C101 C114:C117">
    <cfRule type="top10" priority="4039" dxfId="19" rank="35" percent="1"/>
  </conditionalFormatting>
  <conditionalFormatting sqref="F8:F57 Q57 Q59:Q88 F59 Q90:Q94 F90:F94 Q96:Q117 F96:F117 F61:F88">
    <cfRule type="cellIs" priority="29" dxfId="0" operator="lessThan">
      <formula>1</formula>
    </cfRule>
  </conditionalFormatting>
  <conditionalFormatting sqref="Q8:Q56">
    <cfRule type="cellIs" priority="28" dxfId="0" operator="lessThan">
      <formula>1</formula>
    </cfRule>
  </conditionalFormatting>
  <conditionalFormatting sqref="T8:T52 T54:T88 T90:T94 T96:T101 T103:T117">
    <cfRule type="cellIs" priority="27" dxfId="16" operator="greaterThan">
      <formula>160</formula>
    </cfRule>
  </conditionalFormatting>
  <conditionalFormatting sqref="Y8:Y52 Y90:Y94 Y96:Y101 Y103:Y117 Y54:Y88">
    <cfRule type="cellIs" priority="25" dxfId="15" operator="lessThan">
      <formula>-0.05</formula>
    </cfRule>
  </conditionalFormatting>
  <conditionalFormatting sqref="AR59:AR129 AR8:AR57">
    <cfRule type="cellIs" priority="15" dxfId="12" operator="lessThan">
      <formula>20</formula>
    </cfRule>
  </conditionalFormatting>
  <conditionalFormatting sqref="AV8:AV129">
    <cfRule type="containsBlanks" priority="6" dxfId="2">
      <formula>LEN(TRIM(AV8))=0</formula>
    </cfRule>
    <cfRule type="cellIs" priority="14" dxfId="12" operator="lessThan">
      <formula>20</formula>
    </cfRule>
  </conditionalFormatting>
  <conditionalFormatting sqref="AC8:AC127">
    <cfRule type="containsBlanks" priority="3" dxfId="2">
      <formula>LEN(TRIM(AC8))=0</formula>
    </cfRule>
    <cfRule type="cellIs" priority="13" dxfId="0" operator="lessThan">
      <formula>100%</formula>
    </cfRule>
  </conditionalFormatting>
  <conditionalFormatting sqref="AH8:AH127">
    <cfRule type="containsBlanks" priority="4" dxfId="2">
      <formula>LEN(TRIM(AH8))=0</formula>
    </cfRule>
    <cfRule type="cellIs" priority="12" dxfId="0" operator="lessThan">
      <formula>100%</formula>
    </cfRule>
  </conditionalFormatting>
  <conditionalFormatting sqref="AM8:AM129">
    <cfRule type="containsBlanks" priority="5" dxfId="2">
      <formula>LEN(TRIM(AM8))=0</formula>
    </cfRule>
    <cfRule type="cellIs" priority="11" dxfId="0" operator="lessThan">
      <formula>1</formula>
    </cfRule>
  </conditionalFormatting>
  <conditionalFormatting sqref="F60">
    <cfRule type="cellIs" priority="8" dxfId="0" operator="lessThan">
      <formula>1</formula>
    </cfRule>
  </conditionalFormatting>
  <conditionalFormatting sqref="AR8:AR129">
    <cfRule type="containsBlanks" priority="7" dxfId="2">
      <formula>LEN(TRIM(AR8))=0</formula>
    </cfRule>
  </conditionalFormatting>
  <conditionalFormatting sqref="F8:F117">
    <cfRule type="containsBlanks" priority="2" dxfId="2">
      <formula>LEN(TRIM(F8))=0</formula>
    </cfRule>
  </conditionalFormatting>
  <conditionalFormatting sqref="Q8:Q117">
    <cfRule type="containsBlanks" priority="1" dxfId="2">
      <formula>LEN(TRIM(Q8))=0</formula>
    </cfRule>
  </conditionalFormatting>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11"/>
  <sheetViews>
    <sheetView workbookViewId="0" topLeftCell="A1">
      <selection activeCell="C5" sqref="C5"/>
    </sheetView>
  </sheetViews>
  <sheetFormatPr defaultColWidth="9.00390625" defaultRowHeight="11.25"/>
  <cols>
    <col min="1" max="1" width="36.375" style="0" customWidth="1"/>
    <col min="2" max="2" width="33.125" style="0" customWidth="1"/>
    <col min="3" max="3" width="49.875" style="0" bestFit="1" customWidth="1"/>
  </cols>
  <sheetData>
    <row r="1" spans="1:3" ht="11.25">
      <c r="A1" t="s">
        <v>572</v>
      </c>
      <c r="B1" t="s">
        <v>581</v>
      </c>
      <c r="C1" t="s">
        <v>568</v>
      </c>
    </row>
    <row r="2" spans="1:3" ht="11.25">
      <c r="A2" t="s">
        <v>573</v>
      </c>
      <c r="B2" t="s">
        <v>582</v>
      </c>
      <c r="C2" t="s">
        <v>589</v>
      </c>
    </row>
    <row r="3" spans="1:3" ht="11.25">
      <c r="A3" t="s">
        <v>574</v>
      </c>
      <c r="B3" t="s">
        <v>582</v>
      </c>
      <c r="C3" t="s">
        <v>589</v>
      </c>
    </row>
    <row r="4" spans="1:3" ht="11.25">
      <c r="A4" t="s">
        <v>575</v>
      </c>
      <c r="B4" t="s">
        <v>583</v>
      </c>
      <c r="C4" t="s">
        <v>591</v>
      </c>
    </row>
    <row r="5" spans="1:2" ht="11.25">
      <c r="A5" t="s">
        <v>576</v>
      </c>
      <c r="B5" t="s">
        <v>583</v>
      </c>
    </row>
    <row r="6" spans="1:3" ht="11.25">
      <c r="A6" t="s">
        <v>64</v>
      </c>
      <c r="B6" t="s">
        <v>584</v>
      </c>
      <c r="C6" t="s">
        <v>587</v>
      </c>
    </row>
    <row r="7" spans="1:2" ht="11.25">
      <c r="A7" t="s">
        <v>577</v>
      </c>
      <c r="B7" t="s">
        <v>585</v>
      </c>
    </row>
    <row r="8" spans="1:3" ht="11.25">
      <c r="A8" t="s">
        <v>54</v>
      </c>
      <c r="B8" t="s">
        <v>583</v>
      </c>
      <c r="C8" t="s">
        <v>590</v>
      </c>
    </row>
    <row r="9" spans="1:3" ht="11.25">
      <c r="A9" t="s">
        <v>578</v>
      </c>
      <c r="B9" t="s">
        <v>583</v>
      </c>
      <c r="C9" t="s">
        <v>590</v>
      </c>
    </row>
    <row r="10" spans="1:3" ht="11.25">
      <c r="A10" t="s">
        <v>579</v>
      </c>
      <c r="B10" t="s">
        <v>586</v>
      </c>
      <c r="C10" t="s">
        <v>588</v>
      </c>
    </row>
    <row r="11" spans="1:3" ht="11.25">
      <c r="A11" t="s">
        <v>580</v>
      </c>
      <c r="B11" t="s">
        <v>586</v>
      </c>
      <c r="C11" t="s">
        <v>588</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AD45"/>
  <sheetViews>
    <sheetView workbookViewId="0" topLeftCell="A10">
      <selection activeCell="K31" sqref="K31"/>
    </sheetView>
  </sheetViews>
  <sheetFormatPr defaultColWidth="9.00390625" defaultRowHeight="11.25"/>
  <cols>
    <col min="1" max="1" width="21.375" style="0" customWidth="1"/>
    <col min="2" max="3" width="7.125" style="0" customWidth="1"/>
    <col min="4" max="5" width="7.125" style="106" customWidth="1"/>
    <col min="6" max="7" width="7.125" style="88" customWidth="1"/>
    <col min="8" max="9" width="7.125" style="96" customWidth="1"/>
    <col min="10" max="10" width="6.875" style="96" bestFit="1" customWidth="1"/>
    <col min="11" max="11" width="7.125" style="90" customWidth="1"/>
    <col min="12" max="13" width="7.125" style="0" customWidth="1"/>
    <col min="14" max="15" width="7.125" style="106" customWidth="1"/>
    <col min="16" max="17" width="7.125" style="0" customWidth="1"/>
    <col min="18" max="20" width="7.125" style="96" customWidth="1"/>
    <col min="21" max="23" width="7.125" style="0" customWidth="1"/>
    <col min="24" max="25" width="7.125" style="106" customWidth="1"/>
    <col min="26" max="27" width="7.125" style="0" customWidth="1"/>
    <col min="28" max="29" width="7.125" style="96" customWidth="1"/>
    <col min="30" max="30" width="7.125" style="0" customWidth="1"/>
  </cols>
  <sheetData>
    <row r="1" ht="12.75" thickBot="1"/>
    <row r="2" spans="2:30" ht="12.75" thickBot="1">
      <c r="B2" s="286" t="s">
        <v>212</v>
      </c>
      <c r="C2" s="287"/>
      <c r="D2" s="287"/>
      <c r="E2" s="287"/>
      <c r="F2" s="287"/>
      <c r="G2" s="287"/>
      <c r="H2" s="287"/>
      <c r="I2" s="287"/>
      <c r="J2" s="287"/>
      <c r="K2" s="288"/>
      <c r="L2" s="286" t="s">
        <v>213</v>
      </c>
      <c r="M2" s="287"/>
      <c r="N2" s="287"/>
      <c r="O2" s="287"/>
      <c r="P2" s="287"/>
      <c r="Q2" s="287"/>
      <c r="R2" s="287"/>
      <c r="S2" s="287"/>
      <c r="T2" s="287"/>
      <c r="U2" s="288"/>
      <c r="V2" s="286" t="s">
        <v>214</v>
      </c>
      <c r="W2" s="287"/>
      <c r="X2" s="287"/>
      <c r="Y2" s="287"/>
      <c r="Z2" s="287"/>
      <c r="AA2" s="287"/>
      <c r="AB2" s="287"/>
      <c r="AC2" s="287"/>
      <c r="AD2" s="288"/>
    </row>
    <row r="3" spans="2:30" ht="189.75">
      <c r="B3" s="108" t="s">
        <v>43</v>
      </c>
      <c r="C3" s="109" t="s">
        <v>217</v>
      </c>
      <c r="D3" s="109" t="s">
        <v>44</v>
      </c>
      <c r="E3" s="109" t="s">
        <v>218</v>
      </c>
      <c r="F3" s="110" t="s">
        <v>45</v>
      </c>
      <c r="G3" s="110" t="s">
        <v>219</v>
      </c>
      <c r="H3" s="111" t="s">
        <v>46</v>
      </c>
      <c r="I3" s="111" t="s">
        <v>220</v>
      </c>
      <c r="J3" s="110" t="s">
        <v>215</v>
      </c>
      <c r="K3" s="110" t="s">
        <v>221</v>
      </c>
      <c r="L3" s="108" t="s">
        <v>43</v>
      </c>
      <c r="M3" s="109" t="s">
        <v>217</v>
      </c>
      <c r="N3" s="109" t="s">
        <v>44</v>
      </c>
      <c r="O3" s="109" t="s">
        <v>218</v>
      </c>
      <c r="P3" s="110" t="s">
        <v>45</v>
      </c>
      <c r="Q3" s="110" t="s">
        <v>219</v>
      </c>
      <c r="R3" s="111" t="s">
        <v>46</v>
      </c>
      <c r="S3" s="111" t="s">
        <v>220</v>
      </c>
      <c r="T3" s="110" t="s">
        <v>215</v>
      </c>
      <c r="U3" s="112" t="s">
        <v>221</v>
      </c>
      <c r="V3" s="110" t="s">
        <v>43</v>
      </c>
      <c r="W3" s="109" t="s">
        <v>217</v>
      </c>
      <c r="X3" s="109" t="s">
        <v>44</v>
      </c>
      <c r="Y3" s="109" t="s">
        <v>218</v>
      </c>
      <c r="Z3" s="110" t="s">
        <v>45</v>
      </c>
      <c r="AA3" s="110" t="s">
        <v>219</v>
      </c>
      <c r="AB3" s="111" t="s">
        <v>46</v>
      </c>
      <c r="AC3" s="111" t="s">
        <v>220</v>
      </c>
      <c r="AD3" s="112" t="s">
        <v>215</v>
      </c>
    </row>
    <row r="4" spans="1:30" ht="11.25">
      <c r="A4" t="s">
        <v>93</v>
      </c>
      <c r="B4" s="105">
        <f>+Accounting!$G$33</f>
        <v>3.0999999999999996</v>
      </c>
      <c r="C4" s="84">
        <f>(B4/(B4+D4+F4+H4))</f>
        <v>0.30097087378640774</v>
      </c>
      <c r="D4" s="92">
        <f>+Accounting!$G$34</f>
        <v>3.3</v>
      </c>
      <c r="E4" s="84">
        <f>(D4/(B4+D4+F4+H4))</f>
        <v>0.32038834951456313</v>
      </c>
      <c r="F4" s="100">
        <f>+Accounting!$G$35</f>
        <v>3.9</v>
      </c>
      <c r="G4" s="84">
        <f>(F4/(B4+D4+F4+H4))</f>
        <v>0.3786407766990292</v>
      </c>
      <c r="H4" s="97">
        <f>+Accounting!$G$36</f>
        <v>0</v>
      </c>
      <c r="I4" s="84">
        <f>(H4/(B4+D4+F4+H4))</f>
        <v>0</v>
      </c>
      <c r="J4" s="117">
        <f>+Accounting!$G$44</f>
        <v>1143.592233009709</v>
      </c>
      <c r="K4" s="84">
        <f>J4/T4</f>
        <v>1.0457278873277185</v>
      </c>
      <c r="L4" s="105">
        <f>+Accounting!J33</f>
        <v>4.6</v>
      </c>
      <c r="M4" s="84">
        <f>(L4/(L4+N4+P4+R4))</f>
        <v>0.43396226415094336</v>
      </c>
      <c r="N4" s="92">
        <f>+Accounting!J34</f>
        <v>3.9</v>
      </c>
      <c r="O4" s="84">
        <f>(N4/(L4+N4+P4+R4))</f>
        <v>0.3679245283018868</v>
      </c>
      <c r="P4" s="89">
        <f>+Accounting!J35</f>
        <v>2.1</v>
      </c>
      <c r="Q4" s="84">
        <f>(P4/(L4+N4+P4+R4))</f>
        <v>0.19811320754716982</v>
      </c>
      <c r="R4" s="97">
        <f>+Accounting!J36</f>
        <v>0</v>
      </c>
      <c r="S4" s="84">
        <f>(R4/(L4+N4+P4+R4))</f>
        <v>0</v>
      </c>
      <c r="T4" s="117">
        <f>+Accounting!$J$44</f>
        <v>1093.5849056603774</v>
      </c>
      <c r="U4" s="115">
        <f>T4/AD4</f>
        <v>0.8262430463955956</v>
      </c>
      <c r="V4" s="89">
        <f>+Accounting!M33</f>
        <v>4.5</v>
      </c>
      <c r="W4" s="84">
        <f>(V4/(V4+X4+Z4+AB4))</f>
        <v>0.5172413793103449</v>
      </c>
      <c r="X4" s="92">
        <f>+Accounting!M34</f>
        <v>3.1</v>
      </c>
      <c r="Y4" s="84">
        <f>(X4/(V4+X4+Z4+AB4))</f>
        <v>0.35632183908045983</v>
      </c>
      <c r="Z4" s="89">
        <f>+Accounting!M35</f>
        <v>1.1</v>
      </c>
      <c r="AA4" s="84">
        <f>(Z4/(V4+X4+Z4+AB4))</f>
        <v>0.12643678160919541</v>
      </c>
      <c r="AB4" s="97">
        <f>+Accounting!M36</f>
        <v>0</v>
      </c>
      <c r="AC4" s="84">
        <f>(AB4/(V4+X4+Z4+AB4))</f>
        <v>0</v>
      </c>
      <c r="AD4" s="119">
        <f>+Accounting!M44</f>
        <v>1323.5632183908046</v>
      </c>
    </row>
    <row r="5" spans="1:30" ht="11.25">
      <c r="A5" t="s">
        <v>96</v>
      </c>
      <c r="B5" s="105">
        <f>'American Indian Studies'!$G$33</f>
        <v>1</v>
      </c>
      <c r="C5" s="84">
        <f aca="true" t="shared" si="0" ref="C5:C43">(B5/(B5+D5+F5+H5))</f>
        <v>0.42105263157894735</v>
      </c>
      <c r="D5" s="92">
        <f>'American Indian Studies'!$G$34</f>
        <v>1.25</v>
      </c>
      <c r="E5" s="84">
        <f aca="true" t="shared" si="1" ref="E5:E43">(D5/(B5+D5+F5+H5))</f>
        <v>0.5263157894736842</v>
      </c>
      <c r="F5" s="100">
        <f>'American Indian Studies'!$G$35</f>
        <v>0.125</v>
      </c>
      <c r="G5" s="84">
        <f aca="true" t="shared" si="2" ref="G5:G43">(F5/(B5+D5+F5+H5))</f>
        <v>0.05263157894736842</v>
      </c>
      <c r="H5" s="98">
        <f>'American Indian Studies'!$G$36</f>
        <v>0</v>
      </c>
      <c r="I5" s="84">
        <f aca="true" t="shared" si="3" ref="I5:I43">(H5/(B5+D5+F5+H5))</f>
        <v>0</v>
      </c>
      <c r="J5" s="117">
        <f>'American Indian Studies'!$G$44</f>
        <v>360.8421052631579</v>
      </c>
      <c r="K5" s="84">
        <f aca="true" t="shared" si="4" ref="K5:K43">J5/T5</f>
        <v>0.7517543859649123</v>
      </c>
      <c r="L5" s="105">
        <f>'American Indian Studies'!$J$33</f>
        <v>0.9</v>
      </c>
      <c r="M5" s="84">
        <f aca="true" t="shared" si="5" ref="M5:M43">(L5/(L5+N5+P5+R5))</f>
        <v>0.375</v>
      </c>
      <c r="N5" s="92">
        <f>'American Indian Studies'!$J$34</f>
        <v>1.25</v>
      </c>
      <c r="O5" s="84">
        <f aca="true" t="shared" si="6" ref="O5:O43">(N5/(L5+N5+P5+R5))</f>
        <v>0.5208333333333334</v>
      </c>
      <c r="P5" s="100">
        <f>'American Indian Studies'!$J$35</f>
        <v>0.25</v>
      </c>
      <c r="Q5" s="84">
        <f aca="true" t="shared" si="7" ref="Q5:Q43">(P5/(L5+N5+P5+R5))</f>
        <v>0.10416666666666667</v>
      </c>
      <c r="R5" s="98">
        <f>'American Indian Studies'!$J$36</f>
        <v>0</v>
      </c>
      <c r="S5" s="84">
        <f aca="true" t="shared" si="8" ref="S5:S43">(R5/(L5+N5+P5+R5))</f>
        <v>0</v>
      </c>
      <c r="T5" s="117">
        <f>'American Indian Studies'!$J$44</f>
        <v>480</v>
      </c>
      <c r="U5" s="115">
        <f aca="true" t="shared" si="9" ref="U5:U43">T5/AD5</f>
        <v>1.0472727272727271</v>
      </c>
      <c r="V5" s="89">
        <f>'American Indian Studies'!$M$33</f>
        <v>0.9</v>
      </c>
      <c r="W5" s="84">
        <f aca="true" t="shared" si="10" ref="W5:W43">(V5/(V5+X5+Z5+AB5))</f>
        <v>0.375</v>
      </c>
      <c r="X5" s="92">
        <f>'American Indian Studies'!$M$34</f>
        <v>1.25</v>
      </c>
      <c r="Y5" s="84">
        <f aca="true" t="shared" si="11" ref="Y5:Y43">(X5/(V5+X5+Z5+AB5))</f>
        <v>0.5208333333333334</v>
      </c>
      <c r="Z5" s="100">
        <f>'American Indian Studies'!$M$35</f>
        <v>0.25</v>
      </c>
      <c r="AA5" s="84">
        <f aca="true" t="shared" si="12" ref="AA5:AA43">(Z5/(V5+X5+Z5+AB5))</f>
        <v>0.10416666666666667</v>
      </c>
      <c r="AB5" s="98">
        <f>'American Indian Studies'!$M$36</f>
        <v>0</v>
      </c>
      <c r="AC5" s="84">
        <f aca="true" t="shared" si="13" ref="AC5:AC43">(AB5/(V5+X5+Z5+AB5))</f>
        <v>0</v>
      </c>
      <c r="AD5" s="119">
        <f>'American Indian Studies'!$M$44</f>
        <v>458.33333333333337</v>
      </c>
    </row>
    <row r="6" spans="1:30" ht="11.25">
      <c r="A6" t="s">
        <v>187</v>
      </c>
      <c r="B6" s="105">
        <f>Art!$G$33</f>
        <v>6.1</v>
      </c>
      <c r="C6" s="84">
        <f t="shared" si="0"/>
        <v>0.4728682170542636</v>
      </c>
      <c r="D6" s="92">
        <f>Art!$G$34</f>
        <v>3</v>
      </c>
      <c r="E6" s="84">
        <f t="shared" si="1"/>
        <v>0.23255813953488375</v>
      </c>
      <c r="F6" s="100">
        <f>Art!$G$35</f>
        <v>3.8</v>
      </c>
      <c r="G6" s="84">
        <f t="shared" si="2"/>
        <v>0.29457364341085274</v>
      </c>
      <c r="H6" s="98">
        <f>Art!$G$36</f>
        <v>0</v>
      </c>
      <c r="I6" s="84">
        <f t="shared" si="3"/>
        <v>0</v>
      </c>
      <c r="J6" s="117">
        <f>Art!$G$44</f>
        <v>605.0387596899226</v>
      </c>
      <c r="K6" s="84">
        <f t="shared" si="4"/>
        <v>0.9095070832847799</v>
      </c>
      <c r="L6" s="105">
        <f>Art!$J$33</f>
        <v>4.4</v>
      </c>
      <c r="M6" s="84">
        <f t="shared" si="5"/>
        <v>0.41904761904761906</v>
      </c>
      <c r="N6" s="92">
        <f>Art!$J$34</f>
        <v>1.7</v>
      </c>
      <c r="O6" s="84">
        <f t="shared" si="6"/>
        <v>0.1619047619047619</v>
      </c>
      <c r="P6" s="100">
        <f>Art!$J$35</f>
        <v>4.4</v>
      </c>
      <c r="Q6" s="84">
        <f t="shared" si="7"/>
        <v>0.41904761904761906</v>
      </c>
      <c r="R6" s="98">
        <f>Art!$J$36</f>
        <v>0</v>
      </c>
      <c r="S6" s="84">
        <f t="shared" si="8"/>
        <v>0</v>
      </c>
      <c r="T6" s="117">
        <f>Art!$J$44</f>
        <v>665.2380952380952</v>
      </c>
      <c r="U6" s="115">
        <f t="shared" si="9"/>
        <v>1.193595923966294</v>
      </c>
      <c r="V6" s="89">
        <f>Art!$M$33</f>
        <v>5.6</v>
      </c>
      <c r="W6" s="84">
        <f t="shared" si="10"/>
        <v>0.5137614678899083</v>
      </c>
      <c r="X6" s="92">
        <f>Art!$M$34</f>
        <v>3</v>
      </c>
      <c r="Y6" s="84">
        <f t="shared" si="11"/>
        <v>0.27522935779816515</v>
      </c>
      <c r="Z6" s="100">
        <f>Art!$M$35</f>
        <v>2.3</v>
      </c>
      <c r="AA6" s="84">
        <f t="shared" si="12"/>
        <v>0.21100917431192662</v>
      </c>
      <c r="AB6" s="98">
        <f>Art!$M$36</f>
        <v>0</v>
      </c>
      <c r="AC6" s="84">
        <f t="shared" si="13"/>
        <v>0</v>
      </c>
      <c r="AD6" s="119">
        <f>Art!$M$44</f>
        <v>557.3394495412845</v>
      </c>
    </row>
    <row r="7" spans="1:30" ht="11.25">
      <c r="A7" t="s">
        <v>188</v>
      </c>
      <c r="B7" s="105">
        <f>Biology!$G$33</f>
        <v>13.7</v>
      </c>
      <c r="C7" s="84">
        <f t="shared" si="0"/>
        <v>0.7851002865329513</v>
      </c>
      <c r="D7" s="92">
        <f>Biology!$G$34</f>
        <v>2.75</v>
      </c>
      <c r="E7" s="84">
        <f t="shared" si="1"/>
        <v>0.15759312320916907</v>
      </c>
      <c r="F7" s="100">
        <f>Biology!$G$35</f>
        <v>1</v>
      </c>
      <c r="G7" s="84">
        <f t="shared" si="2"/>
        <v>0.05730659025787966</v>
      </c>
      <c r="H7" s="98">
        <f>Biology!$G$36</f>
        <v>0</v>
      </c>
      <c r="I7" s="84">
        <f t="shared" si="3"/>
        <v>0</v>
      </c>
      <c r="J7" s="117">
        <f>Biology!$G$44</f>
        <v>1182.5787965616046</v>
      </c>
      <c r="K7" s="84">
        <f t="shared" si="4"/>
        <v>0.9740286038790046</v>
      </c>
      <c r="L7" s="105">
        <f>Biology!$J$33</f>
        <v>12.2</v>
      </c>
      <c r="M7" s="84">
        <f t="shared" si="5"/>
        <v>0.6941678520625889</v>
      </c>
      <c r="N7" s="92">
        <f>Biology!$J$34</f>
        <v>3.3750000000000004</v>
      </c>
      <c r="O7" s="84">
        <f t="shared" si="6"/>
        <v>0.19203413940256048</v>
      </c>
      <c r="P7" s="100">
        <f>Biology!$J$35</f>
        <v>2</v>
      </c>
      <c r="Q7" s="84">
        <f t="shared" si="7"/>
        <v>0.11379800853485064</v>
      </c>
      <c r="R7" s="98">
        <f>Biology!$J$36</f>
        <v>0</v>
      </c>
      <c r="S7" s="84">
        <f t="shared" si="8"/>
        <v>0</v>
      </c>
      <c r="T7" s="117">
        <f>Biology!$J$44</f>
        <v>1214.1109530583215</v>
      </c>
      <c r="U7" s="115">
        <f t="shared" si="9"/>
        <v>0.9837090049050106</v>
      </c>
      <c r="V7" s="89">
        <f>Biology!$M$33</f>
        <v>11.399999999999999</v>
      </c>
      <c r="W7" s="84">
        <f t="shared" si="10"/>
        <v>0.6795827123695976</v>
      </c>
      <c r="X7" s="92">
        <f>Biology!$M$34</f>
        <v>3.75</v>
      </c>
      <c r="Y7" s="84">
        <f t="shared" si="11"/>
        <v>0.22354694485842028</v>
      </c>
      <c r="Z7" s="100">
        <f>Biology!$M$35</f>
        <v>1.6250000000000002</v>
      </c>
      <c r="AA7" s="84">
        <f t="shared" si="12"/>
        <v>0.09687034277198214</v>
      </c>
      <c r="AB7" s="98">
        <f>Biology!$M$36</f>
        <v>0</v>
      </c>
      <c r="AC7" s="84">
        <f t="shared" si="13"/>
        <v>0</v>
      </c>
      <c r="AD7" s="119">
        <f>Biology!$M$44</f>
        <v>1234.2175856929957</v>
      </c>
    </row>
    <row r="8" spans="1:30" ht="11.25">
      <c r="A8" t="s">
        <v>189</v>
      </c>
      <c r="B8" s="105">
        <f>Chemistry!$G$33</f>
        <v>7.1</v>
      </c>
      <c r="C8" s="84">
        <f t="shared" si="0"/>
        <v>0.5472061657032755</v>
      </c>
      <c r="D8" s="92">
        <f>Chemistry!$G$34</f>
        <v>5.375</v>
      </c>
      <c r="E8" s="84">
        <f t="shared" si="1"/>
        <v>0.4142581888246628</v>
      </c>
      <c r="F8" s="100">
        <f>Chemistry!$G$35</f>
        <v>0.5</v>
      </c>
      <c r="G8" s="84">
        <f t="shared" si="2"/>
        <v>0.03853564547206166</v>
      </c>
      <c r="H8" s="98">
        <f>Chemistry!$G$36</f>
        <v>0</v>
      </c>
      <c r="I8" s="84">
        <f t="shared" si="3"/>
        <v>0</v>
      </c>
      <c r="J8" s="117">
        <f>Chemistry!$G$44</f>
        <v>1336.2620423892101</v>
      </c>
      <c r="K8" s="84">
        <f t="shared" si="4"/>
        <v>0.9618592714364123</v>
      </c>
      <c r="L8" s="105">
        <f>Chemistry!$J$33</f>
        <v>6.9</v>
      </c>
      <c r="M8" s="84">
        <f t="shared" si="5"/>
        <v>0.5454545454545454</v>
      </c>
      <c r="N8" s="92">
        <f>Chemistry!$J$34</f>
        <v>4.75</v>
      </c>
      <c r="O8" s="84">
        <f t="shared" si="6"/>
        <v>0.37549407114624506</v>
      </c>
      <c r="P8" s="100">
        <f>Chemistry!$J$35</f>
        <v>1</v>
      </c>
      <c r="Q8" s="84">
        <f t="shared" si="7"/>
        <v>0.07905138339920949</v>
      </c>
      <c r="R8" s="98">
        <f>Chemistry!$J$36</f>
        <v>0</v>
      </c>
      <c r="S8" s="84">
        <f t="shared" si="8"/>
        <v>0</v>
      </c>
      <c r="T8" s="117">
        <f>Chemistry!$J$44</f>
        <v>1389.2490118577075</v>
      </c>
      <c r="U8" s="115">
        <f t="shared" si="9"/>
        <v>0.986843066238261</v>
      </c>
      <c r="V8" s="89">
        <f>Chemistry!$M$33</f>
        <v>7.1</v>
      </c>
      <c r="W8" s="84">
        <f t="shared" si="10"/>
        <v>0.5807770961145194</v>
      </c>
      <c r="X8" s="92">
        <f>Chemistry!$M$34</f>
        <v>3.5</v>
      </c>
      <c r="Y8" s="84">
        <f t="shared" si="11"/>
        <v>0.28629856850715746</v>
      </c>
      <c r="Z8" s="100">
        <f>Chemistry!$M$35</f>
        <v>1.6250000000000002</v>
      </c>
      <c r="AA8" s="84">
        <f t="shared" si="12"/>
        <v>0.13292433537832313</v>
      </c>
      <c r="AB8" s="98">
        <f>Chemistry!$M$36</f>
        <v>0</v>
      </c>
      <c r="AC8" s="84">
        <f t="shared" si="13"/>
        <v>0</v>
      </c>
      <c r="AD8" s="119">
        <f>Chemistry!$M$44</f>
        <v>1407.7709611451944</v>
      </c>
    </row>
    <row r="9" spans="1:30" ht="11.25">
      <c r="A9" t="s">
        <v>190</v>
      </c>
      <c r="B9" s="105">
        <f>Chicanx!$G$33</f>
        <v>0.6</v>
      </c>
      <c r="C9" s="84">
        <f t="shared" si="0"/>
        <v>0.3243243243243243</v>
      </c>
      <c r="D9" s="92">
        <f>Chicanx!$G$34</f>
        <v>1.25</v>
      </c>
      <c r="E9" s="84">
        <f t="shared" si="1"/>
        <v>0.6756756756756757</v>
      </c>
      <c r="F9" s="100">
        <f>Chicanx!$G$35</f>
        <v>0</v>
      </c>
      <c r="G9" s="84">
        <f t="shared" si="2"/>
        <v>0</v>
      </c>
      <c r="H9" s="98">
        <f>Chicanx!$G$36</f>
        <v>0</v>
      </c>
      <c r="I9" s="84">
        <f t="shared" si="3"/>
        <v>0</v>
      </c>
      <c r="J9" s="117">
        <f>Chicanx!$G$44</f>
        <v>915.1351351351351</v>
      </c>
      <c r="K9" s="84">
        <f t="shared" si="4"/>
        <v>1.0785328640366942</v>
      </c>
      <c r="L9" s="105">
        <f>Chicanx!$J$33</f>
        <v>1</v>
      </c>
      <c r="M9" s="84">
        <f t="shared" si="5"/>
        <v>0.5</v>
      </c>
      <c r="N9" s="92">
        <f>Chicanx!$J$34</f>
        <v>1</v>
      </c>
      <c r="O9" s="84">
        <f t="shared" si="6"/>
        <v>0.5</v>
      </c>
      <c r="P9" s="100">
        <f>Chicanx!$J$35</f>
        <v>0</v>
      </c>
      <c r="Q9" s="84">
        <f t="shared" si="7"/>
        <v>0</v>
      </c>
      <c r="R9" s="98">
        <f>Chicanx!$J$36</f>
        <v>0</v>
      </c>
      <c r="S9" s="84">
        <f t="shared" si="8"/>
        <v>0</v>
      </c>
      <c r="T9" s="117">
        <f>Chicanx!$J$44</f>
        <v>848.5</v>
      </c>
      <c r="U9" s="115">
        <f t="shared" si="9"/>
        <v>0.8455158264947246</v>
      </c>
      <c r="V9" s="89">
        <f>Chicanx!$M$33</f>
        <v>1.7</v>
      </c>
      <c r="W9" s="84">
        <f t="shared" si="10"/>
        <v>1</v>
      </c>
      <c r="X9" s="92">
        <f>Chicanx!$M$34</f>
        <v>0</v>
      </c>
      <c r="Y9" s="84">
        <f t="shared" si="11"/>
        <v>0</v>
      </c>
      <c r="Z9" s="100">
        <f>Chicanx!$M$35</f>
        <v>0</v>
      </c>
      <c r="AA9" s="84">
        <f t="shared" si="12"/>
        <v>0</v>
      </c>
      <c r="AB9" s="98">
        <f>Chicanx!$M$36</f>
        <v>0</v>
      </c>
      <c r="AC9" s="84">
        <f t="shared" si="13"/>
        <v>0</v>
      </c>
      <c r="AD9" s="119">
        <f>Chicanx!$M$44</f>
        <v>1003.5294117647059</v>
      </c>
    </row>
    <row r="10" spans="1:30" ht="11.25">
      <c r="A10" t="s">
        <v>191</v>
      </c>
      <c r="B10" s="105">
        <f>CDST!$G$33</f>
        <v>1.4</v>
      </c>
      <c r="C10" s="84">
        <f t="shared" si="0"/>
        <v>0.27184466019417475</v>
      </c>
      <c r="D10" s="92">
        <f>CDST!$G$34</f>
        <v>2.375</v>
      </c>
      <c r="E10" s="84">
        <f t="shared" si="1"/>
        <v>0.4611650485436893</v>
      </c>
      <c r="F10" s="100">
        <f>CDST!$G$35</f>
        <v>1.375</v>
      </c>
      <c r="G10" s="84">
        <f t="shared" si="2"/>
        <v>0.2669902912621359</v>
      </c>
      <c r="H10" s="98">
        <f>CDST!$G$36</f>
        <v>0</v>
      </c>
      <c r="I10" s="84">
        <f t="shared" si="3"/>
        <v>0</v>
      </c>
      <c r="J10" s="117">
        <f>CDST!$G$44</f>
        <v>316.8932038834951</v>
      </c>
      <c r="K10" s="84">
        <f t="shared" si="4"/>
        <v>0.7381052885485135</v>
      </c>
      <c r="L10" s="105">
        <f>CDST!$J$33</f>
        <v>0.5</v>
      </c>
      <c r="M10" s="84">
        <f t="shared" si="5"/>
        <v>0.13333333333333333</v>
      </c>
      <c r="N10" s="92">
        <f>CDST!$J$34</f>
        <v>2.625</v>
      </c>
      <c r="O10" s="84">
        <f t="shared" si="6"/>
        <v>0.7</v>
      </c>
      <c r="P10" s="100">
        <f>CDST!$J$35</f>
        <v>0.625</v>
      </c>
      <c r="Q10" s="84">
        <f t="shared" si="7"/>
        <v>0.16666666666666666</v>
      </c>
      <c r="R10" s="98">
        <f>CDST!$J$36</f>
        <v>0</v>
      </c>
      <c r="S10" s="84">
        <f t="shared" si="8"/>
        <v>0</v>
      </c>
      <c r="T10" s="117">
        <f>CDST!$J$44</f>
        <v>429.3333333333333</v>
      </c>
      <c r="U10" s="115">
        <f t="shared" si="9"/>
        <v>0.8329404060248854</v>
      </c>
      <c r="V10" s="89">
        <f>CDST!$M$33</f>
        <v>0.1</v>
      </c>
      <c r="W10" s="84">
        <f t="shared" si="10"/>
        <v>0.05063291139240506</v>
      </c>
      <c r="X10" s="92">
        <f>CDST!$M$34</f>
        <v>0.625</v>
      </c>
      <c r="Y10" s="84">
        <f t="shared" si="11"/>
        <v>0.3164556962025316</v>
      </c>
      <c r="Z10" s="100">
        <f>CDST!$M$35</f>
        <v>1.25</v>
      </c>
      <c r="AA10" s="84">
        <f t="shared" si="12"/>
        <v>0.6329113924050632</v>
      </c>
      <c r="AB10" s="98">
        <f>CDST!$M$36</f>
        <v>0</v>
      </c>
      <c r="AC10" s="84">
        <f t="shared" si="13"/>
        <v>0</v>
      </c>
      <c r="AD10" s="119">
        <f>CDST!$M$44</f>
        <v>515.4430379746835</v>
      </c>
    </row>
    <row r="11" spans="1:30" ht="11.25">
      <c r="A11" t="s">
        <v>192</v>
      </c>
      <c r="B11" s="105">
        <f>CMST!$G$33</f>
        <v>5.1</v>
      </c>
      <c r="C11" s="84">
        <f t="shared" si="0"/>
        <v>0.42500000000000004</v>
      </c>
      <c r="D11" s="92">
        <f>CMST!$G$34</f>
        <v>3.8</v>
      </c>
      <c r="E11" s="84">
        <f t="shared" si="1"/>
        <v>0.3166666666666667</v>
      </c>
      <c r="F11" s="100">
        <f>CMST!$G$35</f>
        <v>1.4</v>
      </c>
      <c r="G11" s="84">
        <f t="shared" si="2"/>
        <v>0.11666666666666668</v>
      </c>
      <c r="H11" s="98">
        <f>CMST!$G$36</f>
        <v>1.7</v>
      </c>
      <c r="I11" s="84">
        <f t="shared" si="3"/>
        <v>0.1416666666666667</v>
      </c>
      <c r="J11" s="117">
        <f>CMST!$G$44</f>
        <v>1124.1666666666667</v>
      </c>
      <c r="K11" s="84">
        <f t="shared" si="4"/>
        <v>1.119671634557131</v>
      </c>
      <c r="L11" s="105">
        <f>CMST!$J$33</f>
        <v>7.3</v>
      </c>
      <c r="M11" s="84">
        <f t="shared" si="5"/>
        <v>0.5328467153284671</v>
      </c>
      <c r="N11" s="92">
        <f>CMST!$J$34</f>
        <v>3</v>
      </c>
      <c r="O11" s="84">
        <f t="shared" si="6"/>
        <v>0.218978102189781</v>
      </c>
      <c r="P11" s="100">
        <f>CMST!$J$35</f>
        <v>1.8</v>
      </c>
      <c r="Q11" s="84">
        <f t="shared" si="7"/>
        <v>0.13138686131386862</v>
      </c>
      <c r="R11" s="98">
        <f>CMST!$J$36</f>
        <v>1.6</v>
      </c>
      <c r="S11" s="84">
        <f t="shared" si="8"/>
        <v>0.11678832116788321</v>
      </c>
      <c r="T11" s="117">
        <f>CMST!$J$44</f>
        <v>1004.0145985401459</v>
      </c>
      <c r="U11" s="115">
        <f t="shared" si="9"/>
        <v>0.985076690079699</v>
      </c>
      <c r="V11" s="89">
        <f>CMST!$M$33</f>
        <v>6.9</v>
      </c>
      <c r="W11" s="84">
        <f t="shared" si="10"/>
        <v>0.5348837209302326</v>
      </c>
      <c r="X11" s="92">
        <f>CMST!$M$34</f>
        <v>3</v>
      </c>
      <c r="Y11" s="84">
        <f t="shared" si="11"/>
        <v>0.23255813953488372</v>
      </c>
      <c r="Z11" s="100">
        <f>CMST!$M$35</f>
        <v>0.6</v>
      </c>
      <c r="AA11" s="84">
        <f t="shared" si="12"/>
        <v>0.046511627906976744</v>
      </c>
      <c r="AB11" s="98">
        <f>CMST!$M$36</f>
        <v>2.4</v>
      </c>
      <c r="AC11" s="84">
        <f t="shared" si="13"/>
        <v>0.18604651162790697</v>
      </c>
      <c r="AD11" s="119">
        <f>CMST!$M$44</f>
        <v>1019.2248062015503</v>
      </c>
    </row>
    <row r="12" spans="1:30" ht="11.25">
      <c r="A12" t="s">
        <v>112</v>
      </c>
      <c r="B12" s="105">
        <f>ComputerScience!$G$33</f>
        <v>4.6</v>
      </c>
      <c r="C12" s="84">
        <f t="shared" si="0"/>
        <v>0.3233743409490334</v>
      </c>
      <c r="D12" s="92">
        <f>ComputerScience!$G$34</f>
        <v>7.249999999999999</v>
      </c>
      <c r="E12" s="84">
        <f t="shared" si="1"/>
        <v>0.5096660808435852</v>
      </c>
      <c r="F12" s="100">
        <f>ComputerScience!$G$35</f>
        <v>0.875</v>
      </c>
      <c r="G12" s="84">
        <f t="shared" si="2"/>
        <v>0.06151142355008788</v>
      </c>
      <c r="H12" s="98">
        <f>ComputerScience!$G$36</f>
        <v>1.5</v>
      </c>
      <c r="I12" s="84">
        <f t="shared" si="3"/>
        <v>0.10544815465729351</v>
      </c>
      <c r="J12" s="117">
        <f>ComputerScience!$G$44</f>
        <v>1042.390158172232</v>
      </c>
      <c r="K12" s="84">
        <f t="shared" si="4"/>
        <v>0.8941807186355967</v>
      </c>
      <c r="L12" s="105">
        <f>ComputerScience!$J$33</f>
        <v>4.9</v>
      </c>
      <c r="M12" s="84">
        <f t="shared" si="5"/>
        <v>0.2965204236006052</v>
      </c>
      <c r="N12" s="92">
        <f>ComputerScience!$J$34</f>
        <v>7.249999999999999</v>
      </c>
      <c r="O12" s="84">
        <f t="shared" si="6"/>
        <v>0.4387291981845688</v>
      </c>
      <c r="P12" s="100">
        <f>ComputerScience!$J$35</f>
        <v>0.25</v>
      </c>
      <c r="Q12" s="84">
        <f t="shared" si="7"/>
        <v>0.015128593040847203</v>
      </c>
      <c r="R12" s="98">
        <f>ComputerScience!$J$36</f>
        <v>4.125</v>
      </c>
      <c r="S12" s="84">
        <f t="shared" si="8"/>
        <v>0.24962178517397884</v>
      </c>
      <c r="T12" s="117">
        <f>ComputerScience!$J$44</f>
        <v>1165.748865355522</v>
      </c>
      <c r="U12" s="115">
        <f t="shared" si="9"/>
        <v>1.0837395671185943</v>
      </c>
      <c r="V12" s="89">
        <f>ComputerScience!$M$33</f>
        <v>5.6</v>
      </c>
      <c r="W12" s="84">
        <f t="shared" si="10"/>
        <v>0.327485380116959</v>
      </c>
      <c r="X12" s="92">
        <f>ComputerScience!$M$34</f>
        <v>7.125</v>
      </c>
      <c r="Y12" s="84">
        <f t="shared" si="11"/>
        <v>0.41666666666666663</v>
      </c>
      <c r="Z12" s="100">
        <f>ComputerScience!$M$35</f>
        <v>0.25</v>
      </c>
      <c r="AA12" s="84">
        <f t="shared" si="12"/>
        <v>0.014619883040935672</v>
      </c>
      <c r="AB12" s="98">
        <f>ComputerScience!$M$36</f>
        <v>4.125</v>
      </c>
      <c r="AC12" s="84">
        <f t="shared" si="13"/>
        <v>0.24122807017543857</v>
      </c>
      <c r="AD12" s="119">
        <f>ComputerScience!$M$44</f>
        <v>1075.672514619883</v>
      </c>
    </row>
    <row r="13" spans="1:30" ht="11.25">
      <c r="A13" t="s">
        <v>114</v>
      </c>
      <c r="B13" s="105">
        <f>CreativeWriting!$G$33</f>
        <v>2.5</v>
      </c>
      <c r="C13" s="84">
        <f t="shared" si="0"/>
        <v>0.5882352941176471</v>
      </c>
      <c r="D13" s="92">
        <f>CreativeWriting!$G$34</f>
        <v>0.625</v>
      </c>
      <c r="E13" s="84">
        <f t="shared" si="1"/>
        <v>0.14705882352941177</v>
      </c>
      <c r="F13" s="100">
        <f>CreativeWriting!$G$35</f>
        <v>0.75</v>
      </c>
      <c r="G13" s="84">
        <f t="shared" si="2"/>
        <v>0.17647058823529413</v>
      </c>
      <c r="H13" s="98">
        <f>CreativeWriting!$G$36</f>
        <v>0.375</v>
      </c>
      <c r="I13" s="84">
        <f t="shared" si="3"/>
        <v>0.08823529411764706</v>
      </c>
      <c r="J13" s="117" t="str">
        <f>CreativeWriting!$G$44</f>
        <v>#</v>
      </c>
      <c r="K13" s="84" t="e">
        <f t="shared" si="4"/>
        <v>#VALUE!</v>
      </c>
      <c r="L13" s="105">
        <f>CreativeWriting!$J$33</f>
        <v>2.4</v>
      </c>
      <c r="M13" s="84">
        <f t="shared" si="5"/>
        <v>0.5783132530120482</v>
      </c>
      <c r="N13" s="92">
        <f>CreativeWriting!$J$34</f>
        <v>0.75</v>
      </c>
      <c r="O13" s="84">
        <f t="shared" si="6"/>
        <v>0.18072289156626503</v>
      </c>
      <c r="P13" s="100">
        <f>CreativeWriting!$J$35</f>
        <v>0.5</v>
      </c>
      <c r="Q13" s="84">
        <f t="shared" si="7"/>
        <v>0.12048192771084336</v>
      </c>
      <c r="R13" s="98">
        <f>CreativeWriting!$J$36</f>
        <v>0.5</v>
      </c>
      <c r="S13" s="84">
        <f t="shared" si="8"/>
        <v>0.12048192771084336</v>
      </c>
      <c r="T13" s="117" t="str">
        <f>CreativeWriting!$J$44</f>
        <v>#</v>
      </c>
      <c r="U13" s="115" t="e">
        <f t="shared" si="9"/>
        <v>#VALUE!</v>
      </c>
      <c r="V13" s="89">
        <f>CreativeWriting!$M$33</f>
        <v>2.4</v>
      </c>
      <c r="W13" s="84">
        <f t="shared" si="10"/>
        <v>0.5614035087719298</v>
      </c>
      <c r="X13" s="92">
        <f>CreativeWriting!$M$34</f>
        <v>0.75</v>
      </c>
      <c r="Y13" s="84">
        <f t="shared" si="11"/>
        <v>0.17543859649122806</v>
      </c>
      <c r="Z13" s="100">
        <f>CreativeWriting!$M$35</f>
        <v>0.375</v>
      </c>
      <c r="AA13" s="84">
        <f t="shared" si="12"/>
        <v>0.08771929824561403</v>
      </c>
      <c r="AB13" s="98">
        <f>CreativeWriting!$M$36</f>
        <v>0.75</v>
      </c>
      <c r="AC13" s="84">
        <f t="shared" si="13"/>
        <v>0.17543859649122806</v>
      </c>
      <c r="AD13" s="119" t="str">
        <f>CreativeWriting!$M$44</f>
        <v>#</v>
      </c>
    </row>
    <row r="14" spans="1:30" ht="11.25">
      <c r="A14" t="s">
        <v>193</v>
      </c>
      <c r="B14" s="105">
        <f>Economics!$G$33</f>
        <v>6.2</v>
      </c>
      <c r="C14" s="84">
        <f t="shared" si="0"/>
        <v>0.673913043478261</v>
      </c>
      <c r="D14" s="92">
        <f>Economics!$G$34</f>
        <v>3</v>
      </c>
      <c r="E14" s="84">
        <f t="shared" si="1"/>
        <v>0.32608695652173914</v>
      </c>
      <c r="F14" s="100">
        <f>Economics!$G$35</f>
        <v>0</v>
      </c>
      <c r="G14" s="84">
        <f t="shared" si="2"/>
        <v>0</v>
      </c>
      <c r="H14" s="98">
        <f>Economics!$G$36</f>
        <v>0</v>
      </c>
      <c r="I14" s="84">
        <f t="shared" si="3"/>
        <v>0</v>
      </c>
      <c r="J14" s="117">
        <f>Economics!$G$44</f>
        <v>1132.0652173913045</v>
      </c>
      <c r="K14" s="84">
        <f t="shared" si="4"/>
        <v>0.8505512454062883</v>
      </c>
      <c r="L14" s="105">
        <f>Economics!$J$33</f>
        <v>6.199999999999999</v>
      </c>
      <c r="M14" s="84">
        <f t="shared" si="5"/>
        <v>0.6739130434782609</v>
      </c>
      <c r="N14" s="92">
        <f>Economics!$J$34</f>
        <v>3</v>
      </c>
      <c r="O14" s="84">
        <f t="shared" si="6"/>
        <v>0.32608695652173914</v>
      </c>
      <c r="P14" s="100">
        <f>Economics!$J$35</f>
        <v>0</v>
      </c>
      <c r="Q14" s="84">
        <f t="shared" si="7"/>
        <v>0</v>
      </c>
      <c r="R14" s="98">
        <f>Economics!$J$36</f>
        <v>0</v>
      </c>
      <c r="S14" s="84">
        <f t="shared" si="8"/>
        <v>0</v>
      </c>
      <c r="T14" s="117">
        <f>Economics!$J$44</f>
        <v>1330.9782608695652</v>
      </c>
      <c r="U14" s="115">
        <f t="shared" si="9"/>
        <v>0.9658290340275563</v>
      </c>
      <c r="V14" s="89">
        <f>Economics!$M$33</f>
        <v>5.8</v>
      </c>
      <c r="W14" s="84">
        <f t="shared" si="10"/>
        <v>0.6590909090909091</v>
      </c>
      <c r="X14" s="92">
        <f>Economics!$M$34</f>
        <v>3</v>
      </c>
      <c r="Y14" s="84">
        <f t="shared" si="11"/>
        <v>0.3409090909090909</v>
      </c>
      <c r="Z14" s="100">
        <f>Economics!$M$35</f>
        <v>0</v>
      </c>
      <c r="AA14" s="84">
        <f t="shared" si="12"/>
        <v>0</v>
      </c>
      <c r="AB14" s="98">
        <f>Economics!$M$36</f>
        <v>0</v>
      </c>
      <c r="AC14" s="84">
        <f t="shared" si="13"/>
        <v>0</v>
      </c>
      <c r="AD14" s="119">
        <f>Economics!$M$44</f>
        <v>1378.0681818181818</v>
      </c>
    </row>
    <row r="15" spans="1:30" ht="11.25">
      <c r="A15" t="s">
        <v>118</v>
      </c>
      <c r="B15" s="105">
        <f>Education!$G$33</f>
        <v>6.6</v>
      </c>
      <c r="C15" s="84">
        <f t="shared" si="0"/>
        <v>0.42649434571890144</v>
      </c>
      <c r="D15" s="92">
        <f>Education!$G$34</f>
        <v>4.125</v>
      </c>
      <c r="E15" s="84">
        <f t="shared" si="1"/>
        <v>0.2665589660743134</v>
      </c>
      <c r="F15" s="100">
        <f>Education!$G$35</f>
        <v>4.75</v>
      </c>
      <c r="G15" s="84">
        <f t="shared" si="2"/>
        <v>0.30694668820678517</v>
      </c>
      <c r="H15" s="98">
        <f>Education!$G$36</f>
        <v>0</v>
      </c>
      <c r="I15" s="84">
        <f t="shared" si="3"/>
        <v>0</v>
      </c>
      <c r="J15" s="117">
        <f>Education!$G$44</f>
        <v>663.0048465266559</v>
      </c>
      <c r="K15" s="84">
        <f t="shared" si="4"/>
        <v>1.0935085663307218</v>
      </c>
      <c r="L15" s="105">
        <f>Education!$J$33</f>
        <v>8.399999999999999</v>
      </c>
      <c r="M15" s="84">
        <f t="shared" si="5"/>
        <v>0.4862518089725036</v>
      </c>
      <c r="N15" s="92">
        <f>Education!$J$34</f>
        <v>2.75</v>
      </c>
      <c r="O15" s="84">
        <f t="shared" si="6"/>
        <v>0.15918958031837918</v>
      </c>
      <c r="P15" s="100">
        <f>Education!$J$35</f>
        <v>6.125000000000001</v>
      </c>
      <c r="Q15" s="84">
        <f t="shared" si="7"/>
        <v>0.3545586107091173</v>
      </c>
      <c r="R15" s="98">
        <f>Education!$J$36</f>
        <v>0</v>
      </c>
      <c r="S15" s="84">
        <f t="shared" si="8"/>
        <v>0</v>
      </c>
      <c r="T15" s="117">
        <f>Education!$J$44</f>
        <v>606.3096960926194</v>
      </c>
      <c r="U15" s="115">
        <f t="shared" si="9"/>
        <v>1.0403412994485666</v>
      </c>
      <c r="V15" s="89">
        <f>Education!$M$33</f>
        <v>8.4</v>
      </c>
      <c r="W15" s="84">
        <f t="shared" si="10"/>
        <v>0.489795918367347</v>
      </c>
      <c r="X15" s="92">
        <f>Education!$M$34</f>
        <v>3.5</v>
      </c>
      <c r="Y15" s="84">
        <f t="shared" si="11"/>
        <v>0.20408163265306123</v>
      </c>
      <c r="Z15" s="100">
        <f>Education!$M$35</f>
        <v>5.25</v>
      </c>
      <c r="AA15" s="84">
        <f t="shared" si="12"/>
        <v>0.30612244897959184</v>
      </c>
      <c r="AB15" s="98">
        <f>Education!$M$36</f>
        <v>0</v>
      </c>
      <c r="AC15" s="84">
        <f t="shared" si="13"/>
        <v>0</v>
      </c>
      <c r="AD15" s="119">
        <f>Education!$M$44</f>
        <v>582.7988338192421</v>
      </c>
    </row>
    <row r="16" spans="1:30" ht="11.25">
      <c r="A16" t="s">
        <v>119</v>
      </c>
      <c r="B16" s="105">
        <f>VCD!$G$33</f>
        <v>2.5</v>
      </c>
      <c r="C16" s="84">
        <f t="shared" si="0"/>
        <v>0.29850746268656714</v>
      </c>
      <c r="D16" s="92">
        <f>VCD!$G$34</f>
        <v>4.125</v>
      </c>
      <c r="E16" s="84">
        <f t="shared" si="1"/>
        <v>0.4925373134328358</v>
      </c>
      <c r="F16" s="100">
        <f>VCD!$G$35</f>
        <v>1.75</v>
      </c>
      <c r="G16" s="84">
        <f t="shared" si="2"/>
        <v>0.208955223880597</v>
      </c>
      <c r="H16" s="98">
        <f>VCD!$G$36</f>
        <v>0</v>
      </c>
      <c r="I16" s="84">
        <f t="shared" si="3"/>
        <v>0</v>
      </c>
      <c r="J16" s="117">
        <f>VCD!$G$44</f>
        <v>747.9402985074627</v>
      </c>
      <c r="K16" s="84">
        <f t="shared" si="4"/>
        <v>0.9022079422611229</v>
      </c>
      <c r="L16" s="105">
        <f>VCD!$J$33</f>
        <v>1.7000000000000002</v>
      </c>
      <c r="M16" s="84">
        <f t="shared" si="5"/>
        <v>0.24908424908424912</v>
      </c>
      <c r="N16" s="92">
        <f>VCD!$J$34</f>
        <v>5</v>
      </c>
      <c r="O16" s="84">
        <f t="shared" si="6"/>
        <v>0.7326007326007326</v>
      </c>
      <c r="P16" s="100">
        <f>VCD!$J$35</f>
        <v>0.125</v>
      </c>
      <c r="Q16" s="84">
        <f t="shared" si="7"/>
        <v>0.018315018315018316</v>
      </c>
      <c r="R16" s="98">
        <f>VCD!$J$36</f>
        <v>0</v>
      </c>
      <c r="S16" s="84">
        <f t="shared" si="8"/>
        <v>0</v>
      </c>
      <c r="T16" s="117">
        <f>VCD!$J$44</f>
        <v>829.010989010989</v>
      </c>
      <c r="U16" s="115">
        <f t="shared" si="9"/>
        <v>1.137872476584983</v>
      </c>
      <c r="V16" s="89">
        <f>VCD!$M$33</f>
        <v>1.7000000000000002</v>
      </c>
      <c r="W16" s="84">
        <f t="shared" si="10"/>
        <v>0.2172523961661342</v>
      </c>
      <c r="X16" s="92">
        <f>VCD!$M$34</f>
        <v>5</v>
      </c>
      <c r="Y16" s="84">
        <f t="shared" si="11"/>
        <v>0.6389776357827476</v>
      </c>
      <c r="Z16" s="100">
        <f>VCD!$M$35</f>
        <v>1.125</v>
      </c>
      <c r="AA16" s="84">
        <f t="shared" si="12"/>
        <v>0.14376996805111822</v>
      </c>
      <c r="AB16" s="98">
        <f>VCD!$M$36</f>
        <v>0</v>
      </c>
      <c r="AC16" s="84">
        <f t="shared" si="13"/>
        <v>0</v>
      </c>
      <c r="AD16" s="119">
        <f>VCD!$M$44</f>
        <v>728.5623003194888</v>
      </c>
    </row>
    <row r="17" spans="1:30" ht="11.25">
      <c r="A17" t="s">
        <v>194</v>
      </c>
      <c r="B17" s="105">
        <f>'ElectricalEng.'!$G$33</f>
        <v>3.6</v>
      </c>
      <c r="C17" s="84">
        <f t="shared" si="0"/>
        <v>0.5454545454545455</v>
      </c>
      <c r="D17" s="92">
        <f>'ElectricalEng.'!$G$34</f>
        <v>1.25</v>
      </c>
      <c r="E17" s="84">
        <f t="shared" si="1"/>
        <v>0.1893939393939394</v>
      </c>
      <c r="F17" s="100">
        <f>'ElectricalEng.'!$G$35</f>
        <v>1.75</v>
      </c>
      <c r="G17" s="84">
        <f t="shared" si="2"/>
        <v>0.26515151515151514</v>
      </c>
      <c r="H17" s="98">
        <f>'ElectricalEng.'!$G$36</f>
        <v>0</v>
      </c>
      <c r="I17" s="84">
        <f t="shared" si="3"/>
        <v>0</v>
      </c>
      <c r="J17" s="117">
        <f>'ElectricalEng.'!$G$44</f>
        <v>607.2727272727273</v>
      </c>
      <c r="K17" s="84">
        <f t="shared" si="4"/>
        <v>0.9993918310749994</v>
      </c>
      <c r="L17" s="105">
        <f>'ElectricalEng.'!$J$33</f>
        <v>3.9000000000000004</v>
      </c>
      <c r="M17" s="84">
        <f t="shared" si="5"/>
        <v>0.6341463414634146</v>
      </c>
      <c r="N17" s="92">
        <f>'ElectricalEng.'!$J$34</f>
        <v>1.25</v>
      </c>
      <c r="O17" s="84">
        <f t="shared" si="6"/>
        <v>0.2032520325203252</v>
      </c>
      <c r="P17" s="100">
        <f>'ElectricalEng.'!$J$35</f>
        <v>1</v>
      </c>
      <c r="Q17" s="84">
        <f t="shared" si="7"/>
        <v>0.16260162601626016</v>
      </c>
      <c r="R17" s="98">
        <f>'ElectricalEng.'!$J$36</f>
        <v>0</v>
      </c>
      <c r="S17" s="84">
        <f t="shared" si="8"/>
        <v>0</v>
      </c>
      <c r="T17" s="117">
        <f>'ElectricalEng.'!$J$44</f>
        <v>607.6422764227642</v>
      </c>
      <c r="U17" s="115">
        <f t="shared" si="9"/>
        <v>0.9578476989492192</v>
      </c>
      <c r="V17" s="89">
        <f>'ElectricalEng.'!$M$33</f>
        <v>4</v>
      </c>
      <c r="W17" s="84">
        <f t="shared" si="10"/>
        <v>0.6808510638297872</v>
      </c>
      <c r="X17" s="92">
        <f>'ElectricalEng.'!$M$34</f>
        <v>1.25</v>
      </c>
      <c r="Y17" s="84">
        <f t="shared" si="11"/>
        <v>0.2127659574468085</v>
      </c>
      <c r="Z17" s="100">
        <f>'ElectricalEng.'!$M$35</f>
        <v>0.625</v>
      </c>
      <c r="AA17" s="84">
        <f t="shared" si="12"/>
        <v>0.10638297872340426</v>
      </c>
      <c r="AB17" s="98">
        <f>'ElectricalEng.'!$M$36</f>
        <v>0</v>
      </c>
      <c r="AC17" s="84">
        <f t="shared" si="13"/>
        <v>0</v>
      </c>
      <c r="AD17" s="119">
        <f>'ElectricalEng.'!$M$44</f>
        <v>634.3829787234042</v>
      </c>
    </row>
    <row r="18" spans="1:30" ht="11.25">
      <c r="A18" t="s">
        <v>195</v>
      </c>
      <c r="B18" s="105">
        <f>MechanicalEngTech!$G$33</f>
        <v>8.7</v>
      </c>
      <c r="C18" s="84">
        <f t="shared" si="0"/>
        <v>0.3986254295532646</v>
      </c>
      <c r="D18" s="92">
        <f>MechanicalEngTech!$G$34</f>
        <v>6.750000000000001</v>
      </c>
      <c r="E18" s="84">
        <f t="shared" si="1"/>
        <v>0.309278350515464</v>
      </c>
      <c r="F18" s="100">
        <f>MechanicalEngTech!$G$35</f>
        <v>6.375</v>
      </c>
      <c r="G18" s="84">
        <f t="shared" si="2"/>
        <v>0.2920962199312715</v>
      </c>
      <c r="H18" s="98">
        <f>MechanicalEngTech!$G$36</f>
        <v>0</v>
      </c>
      <c r="I18" s="84">
        <f t="shared" si="3"/>
        <v>0</v>
      </c>
      <c r="J18" s="117">
        <f>MechanicalEngTech!$G$44</f>
        <v>804.0320733104238</v>
      </c>
      <c r="K18" s="84">
        <f t="shared" si="4"/>
        <v>0.9325818358190651</v>
      </c>
      <c r="L18" s="105">
        <f>MechanicalEngTech!$J$33</f>
        <v>6.9</v>
      </c>
      <c r="M18" s="84">
        <f t="shared" si="5"/>
        <v>0.3675099866844208</v>
      </c>
      <c r="N18" s="92">
        <f>MechanicalEngTech!$J$34</f>
        <v>8.25</v>
      </c>
      <c r="O18" s="84">
        <f t="shared" si="6"/>
        <v>0.4394141145139814</v>
      </c>
      <c r="P18" s="100">
        <f>MechanicalEngTech!$J$35</f>
        <v>3.6249999999999996</v>
      </c>
      <c r="Q18" s="84">
        <f t="shared" si="7"/>
        <v>0.19307589880159787</v>
      </c>
      <c r="R18" s="98">
        <f>MechanicalEngTech!$J$36</f>
        <v>0</v>
      </c>
      <c r="S18" s="84">
        <f t="shared" si="8"/>
        <v>0</v>
      </c>
      <c r="T18" s="117">
        <f>MechanicalEngTech!$J$44</f>
        <v>862.1571238348869</v>
      </c>
      <c r="U18" s="115">
        <f t="shared" si="9"/>
        <v>1.0287171836610882</v>
      </c>
      <c r="V18" s="89">
        <f>MechanicalEngTech!$M$33</f>
        <v>8.5</v>
      </c>
      <c r="W18" s="84">
        <f t="shared" si="10"/>
        <v>0.5074626865671642</v>
      </c>
      <c r="X18" s="92">
        <f>MechanicalEngTech!$M$34</f>
        <v>5.375</v>
      </c>
      <c r="Y18" s="84">
        <f t="shared" si="11"/>
        <v>0.3208955223880597</v>
      </c>
      <c r="Z18" s="100">
        <f>MechanicalEngTech!$M$35</f>
        <v>2.875</v>
      </c>
      <c r="AA18" s="84">
        <f t="shared" si="12"/>
        <v>0.17164179104477612</v>
      </c>
      <c r="AB18" s="98">
        <f>MechanicalEngTech!$M$36</f>
        <v>0</v>
      </c>
      <c r="AC18" s="84">
        <f t="shared" si="13"/>
        <v>0</v>
      </c>
      <c r="AD18" s="119">
        <f>MechanicalEngTech!$M$44</f>
        <v>838.0895522388059</v>
      </c>
    </row>
    <row r="19" spans="1:30" ht="11.25">
      <c r="A19" t="s">
        <v>196</v>
      </c>
      <c r="B19" s="105">
        <f>Film!$G$33</f>
        <v>1.8</v>
      </c>
      <c r="C19" s="84">
        <f t="shared" si="0"/>
        <v>0.4390243902439024</v>
      </c>
      <c r="D19" s="92">
        <f>Film!$G$34</f>
        <v>1.1</v>
      </c>
      <c r="E19" s="84">
        <f t="shared" si="1"/>
        <v>0.26829268292682923</v>
      </c>
      <c r="F19" s="100">
        <f>Film!$G$35</f>
        <v>1.2</v>
      </c>
      <c r="G19" s="84">
        <f t="shared" si="2"/>
        <v>0.2926829268292682</v>
      </c>
      <c r="H19" s="98">
        <f>Film!$G$36</f>
        <v>0</v>
      </c>
      <c r="I19" s="84">
        <f t="shared" si="3"/>
        <v>0</v>
      </c>
      <c r="J19" s="117">
        <f>Film!$G$44</f>
        <v>1149.7560975609754</v>
      </c>
      <c r="K19" s="84">
        <f t="shared" si="4"/>
        <v>1.056437455645613</v>
      </c>
      <c r="L19" s="105">
        <f>Film!$J$33</f>
        <v>2.2</v>
      </c>
      <c r="M19" s="84">
        <f t="shared" si="5"/>
        <v>0.5238095238095238</v>
      </c>
      <c r="N19" s="92">
        <f>Film!$J$34</f>
        <v>1.1</v>
      </c>
      <c r="O19" s="84">
        <f t="shared" si="6"/>
        <v>0.2619047619047619</v>
      </c>
      <c r="P19" s="100">
        <f>Film!$J$35</f>
        <v>0.9</v>
      </c>
      <c r="Q19" s="84">
        <f t="shared" si="7"/>
        <v>0.21428571428571427</v>
      </c>
      <c r="R19" s="98">
        <f>Film!$J$36</f>
        <v>0</v>
      </c>
      <c r="S19" s="84">
        <f t="shared" si="8"/>
        <v>0</v>
      </c>
      <c r="T19" s="117">
        <f>Film!$J$44</f>
        <v>1088.3333333333333</v>
      </c>
      <c r="U19" s="115">
        <f t="shared" si="9"/>
        <v>0.9728397891359156</v>
      </c>
      <c r="V19" s="89">
        <f>Film!$M$33</f>
        <v>3.1</v>
      </c>
      <c r="W19" s="84">
        <f t="shared" si="10"/>
        <v>0.7948717948717948</v>
      </c>
      <c r="X19" s="92">
        <f>Film!$M$34</f>
        <v>0.1</v>
      </c>
      <c r="Y19" s="84">
        <f t="shared" si="11"/>
        <v>0.02564102564102564</v>
      </c>
      <c r="Z19" s="100">
        <f>Film!$M$35</f>
        <v>0.7</v>
      </c>
      <c r="AA19" s="84">
        <f t="shared" si="12"/>
        <v>0.17948717948717946</v>
      </c>
      <c r="AB19" s="98">
        <f>Film!$M$36</f>
        <v>0</v>
      </c>
      <c r="AC19" s="84">
        <f t="shared" si="13"/>
        <v>0</v>
      </c>
      <c r="AD19" s="119">
        <f>Film!$M$44</f>
        <v>1118.7179487179487</v>
      </c>
    </row>
    <row r="20" spans="1:30" ht="11.25">
      <c r="A20" t="s">
        <v>197</v>
      </c>
      <c r="B20" s="105">
        <f>GEAN!$G$33</f>
        <v>11.8</v>
      </c>
      <c r="C20" s="84">
        <f t="shared" si="0"/>
        <v>0.7399407768681414</v>
      </c>
      <c r="D20" s="92">
        <f>GEAN!$G$34</f>
        <v>2.25</v>
      </c>
      <c r="E20" s="84">
        <f t="shared" si="1"/>
        <v>0.14109040236892526</v>
      </c>
      <c r="F20" s="100">
        <f>GEAN!$G$35</f>
        <v>1.8972222222222221</v>
      </c>
      <c r="G20" s="84">
        <f t="shared" si="2"/>
        <v>0.11896882076293328</v>
      </c>
      <c r="H20" s="98">
        <f>GEAN!$G$36</f>
        <v>0</v>
      </c>
      <c r="I20" s="84">
        <f t="shared" si="3"/>
        <v>0</v>
      </c>
      <c r="J20" s="117">
        <f>GEAN!$G$44</f>
        <v>853.1893398362654</v>
      </c>
      <c r="K20" s="84">
        <f t="shared" si="4"/>
        <v>1.0598729998755991</v>
      </c>
      <c r="L20" s="105">
        <f>GEAN!$J$33</f>
        <v>10.700000000000001</v>
      </c>
      <c r="M20" s="84">
        <f t="shared" si="5"/>
        <v>0.6124006359300478</v>
      </c>
      <c r="N20" s="92">
        <f>GEAN!$J$34</f>
        <v>1.625</v>
      </c>
      <c r="O20" s="84">
        <f t="shared" si="6"/>
        <v>0.09300476947535771</v>
      </c>
      <c r="P20" s="100">
        <f>GEAN!$J$35</f>
        <v>5.147222222222222</v>
      </c>
      <c r="Q20" s="84">
        <f t="shared" si="7"/>
        <v>0.2945945945945946</v>
      </c>
      <c r="R20" s="98">
        <f>GEAN!$J$36</f>
        <v>0</v>
      </c>
      <c r="S20" s="84">
        <f t="shared" si="8"/>
        <v>0</v>
      </c>
      <c r="T20" s="117">
        <f>GEAN!$J$44</f>
        <v>804.9920508744038</v>
      </c>
      <c r="U20" s="115">
        <f t="shared" si="9"/>
        <v>1.0796444622144643</v>
      </c>
      <c r="V20" s="89">
        <f>GEAN!$M$33</f>
        <v>12.899999999999999</v>
      </c>
      <c r="W20" s="84">
        <f t="shared" si="10"/>
        <v>0.6825396825396826</v>
      </c>
      <c r="X20" s="92">
        <f>GEAN!$M$34</f>
        <v>2.125</v>
      </c>
      <c r="Y20" s="84">
        <f t="shared" si="11"/>
        <v>0.11243386243386244</v>
      </c>
      <c r="Z20" s="100">
        <f>GEAN!$M$35</f>
        <v>3.875</v>
      </c>
      <c r="AA20" s="84">
        <f t="shared" si="12"/>
        <v>0.20502645502645503</v>
      </c>
      <c r="AB20" s="98">
        <f>GEAN!$M$36</f>
        <v>0</v>
      </c>
      <c r="AC20" s="84">
        <f t="shared" si="13"/>
        <v>0</v>
      </c>
      <c r="AD20" s="119">
        <f>GEAN!$M$44</f>
        <v>745.6084656084656</v>
      </c>
    </row>
    <row r="21" spans="1:30" ht="11.25">
      <c r="A21" t="s">
        <v>198</v>
      </c>
      <c r="B21" s="105">
        <f>ANTR!$G$33</f>
        <v>2.2</v>
      </c>
      <c r="C21" s="84">
        <f t="shared" si="0"/>
        <v>0.6376811594202899</v>
      </c>
      <c r="D21" s="92">
        <f>ANTR!$G$34</f>
        <v>0.5</v>
      </c>
      <c r="E21" s="84">
        <f t="shared" si="1"/>
        <v>0.14492753623188406</v>
      </c>
      <c r="F21" s="100">
        <f>ANTR!$G$35</f>
        <v>0.75</v>
      </c>
      <c r="G21" s="84">
        <f t="shared" si="2"/>
        <v>0.21739130434782608</v>
      </c>
      <c r="H21" s="98">
        <f>ANTR!$G$36</f>
        <v>0</v>
      </c>
      <c r="I21" s="84">
        <f t="shared" si="3"/>
        <v>0</v>
      </c>
      <c r="J21" s="117">
        <f>ANTR!$G$44</f>
        <v>1201.4492753623188</v>
      </c>
      <c r="K21" s="84">
        <f t="shared" si="4"/>
        <v>0.9861558766150016</v>
      </c>
      <c r="L21" s="105">
        <f>ANTR!$J$33</f>
        <v>2.5</v>
      </c>
      <c r="M21" s="84">
        <f t="shared" si="5"/>
        <v>0.5263157894736842</v>
      </c>
      <c r="N21" s="92">
        <f>ANTR!$J$34</f>
        <v>0.5</v>
      </c>
      <c r="O21" s="84">
        <f t="shared" si="6"/>
        <v>0.10526315789473684</v>
      </c>
      <c r="P21" s="100">
        <f>ANTR!$J$35</f>
        <v>1.75</v>
      </c>
      <c r="Q21" s="84">
        <f t="shared" si="7"/>
        <v>0.3684210526315789</v>
      </c>
      <c r="R21" s="98">
        <f>ANTR!$J$36</f>
        <v>0</v>
      </c>
      <c r="S21" s="84">
        <f t="shared" si="8"/>
        <v>0</v>
      </c>
      <c r="T21" s="117">
        <f>ANTR!$J$44</f>
        <v>1218.3157894736842</v>
      </c>
      <c r="U21" s="115">
        <f t="shared" si="9"/>
        <v>1.2774465008675533</v>
      </c>
      <c r="V21" s="89">
        <f>ANTR!$M$33</f>
        <v>4.1</v>
      </c>
      <c r="W21" s="84">
        <f t="shared" si="10"/>
        <v>0.7161572052401747</v>
      </c>
      <c r="X21" s="92">
        <f>ANTR!$M$34</f>
        <v>0.75</v>
      </c>
      <c r="Y21" s="84">
        <f t="shared" si="11"/>
        <v>0.13100436681222707</v>
      </c>
      <c r="Z21" s="100">
        <f>ANTR!$M$35</f>
        <v>0.875</v>
      </c>
      <c r="AA21" s="84">
        <f t="shared" si="12"/>
        <v>0.15283842794759828</v>
      </c>
      <c r="AB21" s="98">
        <f>ANTR!$M$36</f>
        <v>0</v>
      </c>
      <c r="AC21" s="84">
        <f t="shared" si="13"/>
        <v>0</v>
      </c>
      <c r="AD21" s="119">
        <f>ANTR!$M$44</f>
        <v>953.7117903930132</v>
      </c>
    </row>
    <row r="22" spans="1:30" ht="11.25">
      <c r="A22" t="s">
        <v>199</v>
      </c>
      <c r="B22" s="105">
        <f>GEOG!$G$33</f>
        <v>4.800000000000001</v>
      </c>
      <c r="C22" s="84">
        <f t="shared" si="0"/>
        <v>0.8275862068965517</v>
      </c>
      <c r="D22" s="92">
        <f>GEOG!$G$34</f>
        <v>0.5</v>
      </c>
      <c r="E22" s="84">
        <f t="shared" si="1"/>
        <v>0.08620689655172413</v>
      </c>
      <c r="F22" s="100">
        <f>GEOG!$G$35</f>
        <v>0.5</v>
      </c>
      <c r="G22" s="84">
        <f t="shared" si="2"/>
        <v>0.08620689655172413</v>
      </c>
      <c r="H22" s="98">
        <f>GEOG!$G$36</f>
        <v>0</v>
      </c>
      <c r="I22" s="84">
        <f t="shared" si="3"/>
        <v>0</v>
      </c>
      <c r="J22" s="117">
        <f>GEOG!$G$44</f>
        <v>1316.0344827586205</v>
      </c>
      <c r="K22" s="84">
        <f t="shared" si="4"/>
        <v>1.2723812447949059</v>
      </c>
      <c r="L22" s="105">
        <f>GEOG!$J$33</f>
        <v>3.2</v>
      </c>
      <c r="M22" s="84">
        <f t="shared" si="5"/>
        <v>0.5059288537549407</v>
      </c>
      <c r="N22" s="92">
        <f>GEOG!$J$34</f>
        <v>0.75</v>
      </c>
      <c r="O22" s="84">
        <f t="shared" si="6"/>
        <v>0.11857707509881422</v>
      </c>
      <c r="P22" s="100">
        <f>GEOG!$J$35</f>
        <v>2.375</v>
      </c>
      <c r="Q22" s="84">
        <f t="shared" si="7"/>
        <v>0.37549407114624506</v>
      </c>
      <c r="R22" s="98">
        <f>GEOG!$J$36</f>
        <v>0</v>
      </c>
      <c r="S22" s="84">
        <f t="shared" si="8"/>
        <v>0</v>
      </c>
      <c r="T22" s="117">
        <f>GEOG!$J$44</f>
        <v>1034.308300395257</v>
      </c>
      <c r="U22" s="115">
        <f t="shared" si="9"/>
        <v>0.9914937955858673</v>
      </c>
      <c r="V22" s="89">
        <f>GEOG!$M$33</f>
        <v>4.1</v>
      </c>
      <c r="W22" s="84">
        <f t="shared" si="10"/>
        <v>0.6212121212121212</v>
      </c>
      <c r="X22" s="92">
        <f>GEOG!$M$34</f>
        <v>0.125</v>
      </c>
      <c r="Y22" s="84">
        <f t="shared" si="11"/>
        <v>0.01893939393939394</v>
      </c>
      <c r="Z22" s="100">
        <f>GEOG!$M$35</f>
        <v>2.375</v>
      </c>
      <c r="AA22" s="84">
        <f t="shared" si="12"/>
        <v>0.35984848484848486</v>
      </c>
      <c r="AB22" s="98">
        <f>GEOG!$M$36</f>
        <v>0</v>
      </c>
      <c r="AC22" s="84">
        <f t="shared" si="13"/>
        <v>0</v>
      </c>
      <c r="AD22" s="119">
        <f>GEOG!$M$44</f>
        <v>1043.1818181818182</v>
      </c>
    </row>
    <row r="23" spans="1:30" ht="11.25">
      <c r="A23" t="s">
        <v>200</v>
      </c>
      <c r="B23" s="105">
        <f>GIPAGraduate!$G$33</f>
        <v>1.9000000000000001</v>
      </c>
      <c r="C23" s="84">
        <f t="shared" si="0"/>
        <v>0.9884393063583815</v>
      </c>
      <c r="D23" s="92">
        <f>GIPAGraduate!$G$34</f>
        <v>0</v>
      </c>
      <c r="E23" s="84">
        <f t="shared" si="1"/>
        <v>0</v>
      </c>
      <c r="F23" s="100">
        <f>GIPAGraduate!$G$35</f>
        <v>0.022222222222222223</v>
      </c>
      <c r="G23" s="84">
        <f t="shared" si="2"/>
        <v>0.011560693641618497</v>
      </c>
      <c r="H23" s="98">
        <f>GIPAGraduate!$G$36</f>
        <v>0</v>
      </c>
      <c r="I23" s="84">
        <f t="shared" si="3"/>
        <v>0</v>
      </c>
      <c r="J23" s="117">
        <f>GIPAGraduate!$G$44</f>
        <v>167.514450867052</v>
      </c>
      <c r="K23" s="84">
        <f t="shared" si="4"/>
        <v>0.8160530472669201</v>
      </c>
      <c r="L23" s="105">
        <f>GIPAGraduate!$J$33</f>
        <v>1.6</v>
      </c>
      <c r="M23" s="84">
        <f t="shared" si="5"/>
        <v>0.9863013698630138</v>
      </c>
      <c r="N23" s="92">
        <f>GIPAGraduate!$J$34</f>
        <v>0</v>
      </c>
      <c r="O23" s="84">
        <f t="shared" si="6"/>
        <v>0</v>
      </c>
      <c r="P23" s="100">
        <f>GIPAGraduate!$J$35</f>
        <v>0.022222222222222223</v>
      </c>
      <c r="Q23" s="84">
        <f t="shared" si="7"/>
        <v>0.013698630136986302</v>
      </c>
      <c r="R23" s="98">
        <f>GIPAGraduate!$J$36</f>
        <v>0</v>
      </c>
      <c r="S23" s="84">
        <f t="shared" si="8"/>
        <v>0</v>
      </c>
      <c r="T23" s="117">
        <f>GIPAGraduate!$J$44</f>
        <v>205.27397260273972</v>
      </c>
      <c r="U23" s="115">
        <f t="shared" si="9"/>
        <v>1.1449544288599027</v>
      </c>
      <c r="V23" s="89">
        <f>GIPAGraduate!$M$33</f>
        <v>1.4</v>
      </c>
      <c r="W23" s="84">
        <f t="shared" si="10"/>
        <v>1</v>
      </c>
      <c r="X23" s="92">
        <f>GIPAGraduate!$M$34</f>
        <v>0</v>
      </c>
      <c r="Y23" s="84">
        <f t="shared" si="11"/>
        <v>0</v>
      </c>
      <c r="Z23" s="100">
        <f>GIPAGraduate!$M$35</f>
        <v>0</v>
      </c>
      <c r="AA23" s="84">
        <f t="shared" si="12"/>
        <v>0</v>
      </c>
      <c r="AB23" s="98">
        <f>GIPAGraduate!$M$36</f>
        <v>0</v>
      </c>
      <c r="AC23" s="84">
        <f t="shared" si="13"/>
        <v>0</v>
      </c>
      <c r="AD23" s="119">
        <f>GIPAGraduate!$M$44</f>
        <v>179.2857142857143</v>
      </c>
    </row>
    <row r="24" spans="1:30" ht="11.25">
      <c r="A24" t="s">
        <v>201</v>
      </c>
      <c r="B24" s="105">
        <f>PLAN!$G$33</f>
        <v>2.9</v>
      </c>
      <c r="C24" s="84">
        <f t="shared" si="0"/>
        <v>0.6073298429319371</v>
      </c>
      <c r="D24" s="92">
        <f>PLAN!$G$34</f>
        <v>1.25</v>
      </c>
      <c r="E24" s="84">
        <f t="shared" si="1"/>
        <v>0.2617801047120419</v>
      </c>
      <c r="F24" s="100">
        <f>PLAN!$G$35</f>
        <v>0.625</v>
      </c>
      <c r="G24" s="84">
        <f t="shared" si="2"/>
        <v>0.13089005235602094</v>
      </c>
      <c r="H24" s="98">
        <f>PLAN!$G$36</f>
        <v>0</v>
      </c>
      <c r="I24" s="84">
        <f t="shared" si="3"/>
        <v>0</v>
      </c>
      <c r="J24" s="117">
        <f>PLAN!$G$44</f>
        <v>315.39267015706804</v>
      </c>
      <c r="K24" s="84">
        <f t="shared" si="4"/>
        <v>1.0734141126158234</v>
      </c>
      <c r="L24" s="105">
        <f>PLAN!$J$33</f>
        <v>3.4000000000000004</v>
      </c>
      <c r="M24" s="84">
        <f t="shared" si="5"/>
        <v>0.7120418848167539</v>
      </c>
      <c r="N24" s="92">
        <f>PLAN!$J$34</f>
        <v>0.375</v>
      </c>
      <c r="O24" s="84">
        <f t="shared" si="6"/>
        <v>0.07853403141361257</v>
      </c>
      <c r="P24" s="100">
        <f>PLAN!$J$35</f>
        <v>1</v>
      </c>
      <c r="Q24" s="84">
        <f t="shared" si="7"/>
        <v>0.20942408376963348</v>
      </c>
      <c r="R24" s="98">
        <f>PLAN!$J$36</f>
        <v>0</v>
      </c>
      <c r="S24" s="84">
        <f t="shared" si="8"/>
        <v>0</v>
      </c>
      <c r="T24" s="117">
        <f>PLAN!$J$44</f>
        <v>293.82198952879577</v>
      </c>
      <c r="U24" s="115">
        <f t="shared" si="9"/>
        <v>1.0163962538847044</v>
      </c>
      <c r="V24" s="89">
        <f>PLAN!$M$33</f>
        <v>3.3</v>
      </c>
      <c r="W24" s="84">
        <f t="shared" si="10"/>
        <v>0.6376811594202898</v>
      </c>
      <c r="X24" s="92">
        <f>PLAN!$M$34</f>
        <v>1.25</v>
      </c>
      <c r="Y24" s="84">
        <f t="shared" si="11"/>
        <v>0.24154589371980678</v>
      </c>
      <c r="Z24" s="100">
        <f>PLAN!$M$35</f>
        <v>0.625</v>
      </c>
      <c r="AA24" s="84">
        <f t="shared" si="12"/>
        <v>0.12077294685990339</v>
      </c>
      <c r="AB24" s="98">
        <f>PLAN!$M$36</f>
        <v>0</v>
      </c>
      <c r="AC24" s="84">
        <f t="shared" si="13"/>
        <v>0</v>
      </c>
      <c r="AD24" s="119">
        <f>PLAN!$M$44</f>
        <v>289.08212560386477</v>
      </c>
    </row>
    <row r="25" spans="1:30" ht="11.25">
      <c r="A25" t="s">
        <v>202</v>
      </c>
      <c r="B25" s="105">
        <f>GEOL!$G$33</f>
        <v>2.4</v>
      </c>
      <c r="C25" s="84">
        <f t="shared" si="0"/>
        <v>0.42477876106194684</v>
      </c>
      <c r="D25" s="92">
        <f>GEOL!$G$34</f>
        <v>2.25</v>
      </c>
      <c r="E25" s="84">
        <f t="shared" si="1"/>
        <v>0.3982300884955752</v>
      </c>
      <c r="F25" s="100">
        <f>GEOL!$G$35</f>
        <v>1</v>
      </c>
      <c r="G25" s="84">
        <f t="shared" si="2"/>
        <v>0.17699115044247787</v>
      </c>
      <c r="H25" s="98">
        <f>GEOL!$G$36</f>
        <v>0</v>
      </c>
      <c r="I25" s="84">
        <f t="shared" si="3"/>
        <v>0</v>
      </c>
      <c r="J25" s="117">
        <f>GEOL!$G$44</f>
        <v>1290.9734513274336</v>
      </c>
      <c r="K25" s="84">
        <f t="shared" si="4"/>
        <v>0.8647117401721136</v>
      </c>
      <c r="L25" s="105">
        <f>GEOL!$J$33</f>
        <v>2.5</v>
      </c>
      <c r="M25" s="84">
        <f t="shared" si="5"/>
        <v>0.47619047619047616</v>
      </c>
      <c r="N25" s="92">
        <f>GEOL!$J$34</f>
        <v>1</v>
      </c>
      <c r="O25" s="84">
        <f t="shared" si="6"/>
        <v>0.19047619047619047</v>
      </c>
      <c r="P25" s="100">
        <f>GEOL!$J$35</f>
        <v>1.75</v>
      </c>
      <c r="Q25" s="84">
        <f t="shared" si="7"/>
        <v>0.3333333333333333</v>
      </c>
      <c r="R25" s="98">
        <f>GEOL!$J$36</f>
        <v>0</v>
      </c>
      <c r="S25" s="84">
        <f t="shared" si="8"/>
        <v>0</v>
      </c>
      <c r="T25" s="117">
        <f>GEOL!$J$44</f>
        <v>1492.952380952381</v>
      </c>
      <c r="U25" s="115">
        <f t="shared" si="9"/>
        <v>1.0426398325736075</v>
      </c>
      <c r="V25" s="89">
        <f>GEOL!$M$33</f>
        <v>2.8</v>
      </c>
      <c r="W25" s="84">
        <f t="shared" si="10"/>
        <v>0.48275862068965514</v>
      </c>
      <c r="X25" s="92">
        <f>GEOL!$M$34</f>
        <v>2.25</v>
      </c>
      <c r="Y25" s="84">
        <f t="shared" si="11"/>
        <v>0.3879310344827586</v>
      </c>
      <c r="Z25" s="100">
        <f>GEOL!$M$35</f>
        <v>0.75</v>
      </c>
      <c r="AA25" s="84">
        <f t="shared" si="12"/>
        <v>0.12931034482758622</v>
      </c>
      <c r="AB25" s="98">
        <f>GEOL!$M$36</f>
        <v>0</v>
      </c>
      <c r="AC25" s="84">
        <f t="shared" si="13"/>
        <v>0</v>
      </c>
      <c r="AD25" s="119">
        <f>GEOL!$M$44</f>
        <v>1431.896551724138</v>
      </c>
    </row>
    <row r="26" spans="1:30" ht="11.25">
      <c r="A26" t="s">
        <v>139</v>
      </c>
      <c r="B26" s="105">
        <f>HealthServicesAdmin!$G$33</f>
        <v>0.4</v>
      </c>
      <c r="C26" s="84">
        <f t="shared" si="0"/>
        <v>0.24242424242424246</v>
      </c>
      <c r="D26" s="92">
        <f>HealthServicesAdmin!$G$34</f>
        <v>0.875</v>
      </c>
      <c r="E26" s="84">
        <f t="shared" si="1"/>
        <v>0.5303030303030303</v>
      </c>
      <c r="F26" s="100">
        <f>HealthServicesAdmin!$G$35</f>
        <v>0.375</v>
      </c>
      <c r="G26" s="84">
        <f t="shared" si="2"/>
        <v>0.2272727272727273</v>
      </c>
      <c r="H26" s="98">
        <f>HealthServicesAdmin!$G$36</f>
        <v>0</v>
      </c>
      <c r="I26" s="84">
        <f t="shared" si="3"/>
        <v>0</v>
      </c>
      <c r="J26" s="117">
        <f>HealthServicesAdmin!$G$44</f>
        <v>715.7575757575758</v>
      </c>
      <c r="K26" s="84">
        <f t="shared" si="4"/>
        <v>0.8853447365642487</v>
      </c>
      <c r="L26" s="105">
        <f>HealthServicesAdmin!$J$33</f>
        <v>0.4</v>
      </c>
      <c r="M26" s="84">
        <f t="shared" si="5"/>
        <v>0.22535211267605637</v>
      </c>
      <c r="N26" s="92">
        <f>HealthServicesAdmin!$J$34</f>
        <v>0.875</v>
      </c>
      <c r="O26" s="84">
        <f t="shared" si="6"/>
        <v>0.49295774647887325</v>
      </c>
      <c r="P26" s="100">
        <f>HealthServicesAdmin!$J$35</f>
        <v>0.5</v>
      </c>
      <c r="Q26" s="84">
        <f t="shared" si="7"/>
        <v>0.28169014084507044</v>
      </c>
      <c r="R26" s="98">
        <f>HealthServicesAdmin!$J$36</f>
        <v>0</v>
      </c>
      <c r="S26" s="84">
        <f t="shared" si="8"/>
        <v>0</v>
      </c>
      <c r="T26" s="117">
        <f>HealthServicesAdmin!$J$44</f>
        <v>808.4507042253522</v>
      </c>
      <c r="U26" s="115">
        <f t="shared" si="9"/>
        <v>1.3678007535659822</v>
      </c>
      <c r="V26" s="89">
        <f>HealthServicesAdmin!$M$33</f>
        <v>0.5</v>
      </c>
      <c r="W26" s="84">
        <f t="shared" si="10"/>
        <v>0.23529411764705882</v>
      </c>
      <c r="X26" s="92">
        <f>HealthServicesAdmin!$M$34</f>
        <v>0.875</v>
      </c>
      <c r="Y26" s="84">
        <f t="shared" si="11"/>
        <v>0.4117647058823529</v>
      </c>
      <c r="Z26" s="100">
        <f>HealthServicesAdmin!$M$35</f>
        <v>0.75</v>
      </c>
      <c r="AA26" s="84">
        <f t="shared" si="12"/>
        <v>0.35294117647058826</v>
      </c>
      <c r="AB26" s="98">
        <f>HealthServicesAdmin!$M$36</f>
        <v>0</v>
      </c>
      <c r="AC26" s="84">
        <f t="shared" si="13"/>
        <v>0</v>
      </c>
      <c r="AD26" s="119">
        <f>HealthServicesAdmin!$M$44</f>
        <v>591.0588235294117</v>
      </c>
    </row>
    <row r="27" spans="1:30" ht="11.25">
      <c r="A27" t="s">
        <v>203</v>
      </c>
      <c r="B27" s="105">
        <f>HIST!$G$33</f>
        <v>7.5</v>
      </c>
      <c r="C27" s="84">
        <f t="shared" si="0"/>
        <v>0.625</v>
      </c>
      <c r="D27" s="92">
        <f>HIST!$G$34</f>
        <v>1</v>
      </c>
      <c r="E27" s="84">
        <f t="shared" si="1"/>
        <v>0.08333333333333333</v>
      </c>
      <c r="F27" s="100">
        <f>HIST!$G$35</f>
        <v>3.5</v>
      </c>
      <c r="G27" s="84">
        <f t="shared" si="2"/>
        <v>0.2916666666666667</v>
      </c>
      <c r="H27" s="98">
        <f>HIST!$G$36</f>
        <v>0</v>
      </c>
      <c r="I27" s="84">
        <f t="shared" si="3"/>
        <v>0</v>
      </c>
      <c r="J27" s="117">
        <f>HIST!$G$44</f>
        <v>876.1666666666666</v>
      </c>
      <c r="K27" s="84">
        <f t="shared" si="4"/>
        <v>1.0277806834030683</v>
      </c>
      <c r="L27" s="105">
        <f>HIST!$J$33</f>
        <v>8.7</v>
      </c>
      <c r="M27" s="84">
        <f t="shared" si="5"/>
        <v>0.554140127388535</v>
      </c>
      <c r="N27" s="92">
        <f>HIST!$J$34</f>
        <v>1</v>
      </c>
      <c r="O27" s="84">
        <f t="shared" si="6"/>
        <v>0.06369426751592357</v>
      </c>
      <c r="P27" s="100">
        <f>HIST!$J$35</f>
        <v>6</v>
      </c>
      <c r="Q27" s="84">
        <f t="shared" si="7"/>
        <v>0.3821656050955414</v>
      </c>
      <c r="R27" s="98">
        <f>HIST!$J$36</f>
        <v>0</v>
      </c>
      <c r="S27" s="84">
        <f t="shared" si="8"/>
        <v>0</v>
      </c>
      <c r="T27" s="117">
        <f>HIST!$J$44</f>
        <v>852.484076433121</v>
      </c>
      <c r="U27" s="115">
        <f t="shared" si="9"/>
        <v>0.8357121971658613</v>
      </c>
      <c r="V27" s="89">
        <f>HIST!$M$33</f>
        <v>7</v>
      </c>
      <c r="W27" s="84">
        <f t="shared" si="10"/>
        <v>0.4827586206896552</v>
      </c>
      <c r="X27" s="92">
        <f>HIST!$M$34</f>
        <v>2</v>
      </c>
      <c r="Y27" s="84">
        <f t="shared" si="11"/>
        <v>0.13793103448275862</v>
      </c>
      <c r="Z27" s="100">
        <f>HIST!$M$35</f>
        <v>5.5</v>
      </c>
      <c r="AA27" s="84">
        <f t="shared" si="12"/>
        <v>0.3793103448275862</v>
      </c>
      <c r="AB27" s="98">
        <f>HIST!$M$36</f>
        <v>0</v>
      </c>
      <c r="AC27" s="84">
        <f t="shared" si="13"/>
        <v>0</v>
      </c>
      <c r="AD27" s="119">
        <f>HIST!$M$44</f>
        <v>1020.0689655172414</v>
      </c>
    </row>
    <row r="28" spans="1:30" ht="11.25">
      <c r="A28" t="s">
        <v>148</v>
      </c>
      <c r="B28" s="105">
        <f>InformationSystems!$G$33</f>
        <v>2.9</v>
      </c>
      <c r="C28" s="84">
        <f t="shared" si="0"/>
        <v>0.41428571428571426</v>
      </c>
      <c r="D28" s="92">
        <f>InformationSystems!$G$34</f>
        <v>3.9</v>
      </c>
      <c r="E28" s="84">
        <f t="shared" si="1"/>
        <v>0.5571428571428572</v>
      </c>
      <c r="F28" s="100">
        <f>InformationSystems!$G$35</f>
        <v>0.2</v>
      </c>
      <c r="G28" s="84">
        <f t="shared" si="2"/>
        <v>0.028571428571428574</v>
      </c>
      <c r="H28" s="98">
        <f>InformationSystems!$G$36</f>
        <v>0</v>
      </c>
      <c r="I28" s="84">
        <f t="shared" si="3"/>
        <v>0</v>
      </c>
      <c r="J28" s="117">
        <f>InformationSystems!$G$44</f>
        <v>1239.4285714285713</v>
      </c>
      <c r="K28" s="84">
        <f t="shared" si="4"/>
        <v>1.1167382720773686</v>
      </c>
      <c r="L28" s="105">
        <f>InformationSystems!$J$33</f>
        <v>3.4</v>
      </c>
      <c r="M28" s="84">
        <f t="shared" si="5"/>
        <v>0.45945945945945943</v>
      </c>
      <c r="N28" s="92">
        <f>InformationSystems!$J$34</f>
        <v>3</v>
      </c>
      <c r="O28" s="84">
        <f t="shared" si="6"/>
        <v>0.4054054054054054</v>
      </c>
      <c r="P28" s="100">
        <f>InformationSystems!$J$35</f>
        <v>1</v>
      </c>
      <c r="Q28" s="84">
        <f t="shared" si="7"/>
        <v>0.13513513513513511</v>
      </c>
      <c r="R28" s="98">
        <f>InformationSystems!$J$36</f>
        <v>0</v>
      </c>
      <c r="S28" s="84">
        <f t="shared" si="8"/>
        <v>0</v>
      </c>
      <c r="T28" s="117">
        <f>InformationSystems!$J$44</f>
        <v>1109.8648648648648</v>
      </c>
      <c r="U28" s="115">
        <f t="shared" si="9"/>
        <v>0.9045470438096569</v>
      </c>
      <c r="V28" s="89">
        <f>InformationSystems!$M$33</f>
        <v>4</v>
      </c>
      <c r="W28" s="84">
        <f t="shared" si="10"/>
        <v>0.6349206349206349</v>
      </c>
      <c r="X28" s="92">
        <f>InformationSystems!$M$34</f>
        <v>2</v>
      </c>
      <c r="Y28" s="84">
        <f t="shared" si="11"/>
        <v>0.31746031746031744</v>
      </c>
      <c r="Z28" s="100">
        <f>InformationSystems!$M$35</f>
        <v>0.3</v>
      </c>
      <c r="AA28" s="84">
        <f t="shared" si="12"/>
        <v>0.047619047619047616</v>
      </c>
      <c r="AB28" s="98">
        <f>InformationSystems!$M$36</f>
        <v>0</v>
      </c>
      <c r="AC28" s="84">
        <f t="shared" si="13"/>
        <v>0</v>
      </c>
      <c r="AD28" s="119">
        <f>InformationSystems!$M$44</f>
        <v>1226.984126984127</v>
      </c>
    </row>
    <row r="29" spans="1:30" ht="11.25">
      <c r="A29" t="s">
        <v>204</v>
      </c>
      <c r="B29" s="105">
        <f>Journalism!$G$33</f>
        <v>1.7</v>
      </c>
      <c r="C29" s="84">
        <f t="shared" si="0"/>
        <v>0.5762711864406779</v>
      </c>
      <c r="D29" s="92">
        <f>Journalism!$G$34</f>
        <v>0.375</v>
      </c>
      <c r="E29" s="84">
        <f t="shared" si="1"/>
        <v>0.1271186440677966</v>
      </c>
      <c r="F29" s="100">
        <f>Journalism!$G$35</f>
        <v>0.875</v>
      </c>
      <c r="G29" s="84">
        <f t="shared" si="2"/>
        <v>0.2966101694915254</v>
      </c>
      <c r="H29" s="98">
        <f>Journalism!$G$36</f>
        <v>0</v>
      </c>
      <c r="I29" s="84">
        <f t="shared" si="3"/>
        <v>0</v>
      </c>
      <c r="J29" s="117">
        <f>Journalism!$G$44</f>
        <v>408.13559322033893</v>
      </c>
      <c r="K29" s="84">
        <f t="shared" si="4"/>
        <v>0.8100401086815888</v>
      </c>
      <c r="L29" s="105">
        <f>Journalism!$J$33</f>
        <v>1.6</v>
      </c>
      <c r="M29" s="84">
        <f t="shared" si="5"/>
        <v>0.6153846153846154</v>
      </c>
      <c r="N29" s="92">
        <f>Journalism!$J$34</f>
        <v>0.125</v>
      </c>
      <c r="O29" s="84">
        <f t="shared" si="6"/>
        <v>0.04807692307692307</v>
      </c>
      <c r="P29" s="100">
        <f>Journalism!$J$35</f>
        <v>0.875</v>
      </c>
      <c r="Q29" s="84">
        <f t="shared" si="7"/>
        <v>0.3365384615384615</v>
      </c>
      <c r="R29" s="98">
        <f>Journalism!$J$36</f>
        <v>0</v>
      </c>
      <c r="S29" s="84">
        <f t="shared" si="8"/>
        <v>0</v>
      </c>
      <c r="T29" s="117">
        <f>Journalism!$J$44</f>
        <v>503.8461538461538</v>
      </c>
      <c r="U29" s="115">
        <f t="shared" si="9"/>
        <v>0.5911288884927355</v>
      </c>
      <c r="V29" s="89">
        <f>Journalism!$M$33</f>
        <v>1.9</v>
      </c>
      <c r="W29" s="84">
        <f t="shared" si="10"/>
        <v>0.9382716049382716</v>
      </c>
      <c r="X29" s="92">
        <f>Journalism!$M$34</f>
        <v>0</v>
      </c>
      <c r="Y29" s="84">
        <f t="shared" si="11"/>
        <v>0</v>
      </c>
      <c r="Z29" s="100">
        <f>Journalism!$M$35</f>
        <v>0.125</v>
      </c>
      <c r="AA29" s="84">
        <f t="shared" si="12"/>
        <v>0.0617283950617284</v>
      </c>
      <c r="AB29" s="98">
        <f>Journalism!$M$36</f>
        <v>0</v>
      </c>
      <c r="AC29" s="84">
        <f t="shared" si="13"/>
        <v>0</v>
      </c>
      <c r="AD29" s="119">
        <f>Journalism!$M$44</f>
        <v>852.3456790123457</v>
      </c>
    </row>
    <row r="30" spans="1:30" ht="11.25">
      <c r="A30" t="s">
        <v>152</v>
      </c>
      <c r="B30" s="105">
        <f>Math!$G$33</f>
        <v>13.1</v>
      </c>
      <c r="C30" s="84">
        <f t="shared" si="0"/>
        <v>0.3928035982008995</v>
      </c>
      <c r="D30" s="92">
        <f>Math!$G$34</f>
        <v>18.5</v>
      </c>
      <c r="E30" s="84">
        <f t="shared" si="1"/>
        <v>0.5547226386806596</v>
      </c>
      <c r="F30" s="100">
        <f>Math!$G$35</f>
        <v>1.75</v>
      </c>
      <c r="G30" s="84">
        <f t="shared" si="2"/>
        <v>0.05247376311844078</v>
      </c>
      <c r="H30" s="98">
        <f>Math!$G$36</f>
        <v>0</v>
      </c>
      <c r="I30" s="84">
        <f t="shared" si="3"/>
        <v>0</v>
      </c>
      <c r="J30" s="117">
        <f>Math!$G$44</f>
        <v>1145.2173913043478</v>
      </c>
      <c r="K30" s="84">
        <f t="shared" si="4"/>
        <v>0.9373451616995986</v>
      </c>
      <c r="L30" s="105">
        <f>Math!$J$33</f>
        <v>12.1</v>
      </c>
      <c r="M30" s="84">
        <f t="shared" si="5"/>
        <v>0.3784206411258796</v>
      </c>
      <c r="N30" s="92">
        <f>Math!$J$34</f>
        <v>18.625</v>
      </c>
      <c r="O30" s="84">
        <f t="shared" si="6"/>
        <v>0.5824863174354965</v>
      </c>
      <c r="P30" s="100">
        <f>Math!$J$35</f>
        <v>1.25</v>
      </c>
      <c r="Q30" s="84">
        <f t="shared" si="7"/>
        <v>0.039093041438623924</v>
      </c>
      <c r="R30" s="98">
        <f>Math!$J$36</f>
        <v>0</v>
      </c>
      <c r="S30" s="84">
        <f t="shared" si="8"/>
        <v>0</v>
      </c>
      <c r="T30" s="117">
        <f>Math!$J$44</f>
        <v>1221.7670054730258</v>
      </c>
      <c r="U30" s="115">
        <f t="shared" si="9"/>
        <v>0.9990672843797895</v>
      </c>
      <c r="V30" s="89">
        <f>Math!$M$33</f>
        <v>10.5</v>
      </c>
      <c r="W30" s="84">
        <f t="shared" si="10"/>
        <v>0.3373493975903614</v>
      </c>
      <c r="X30" s="92">
        <f>Math!$M$34</f>
        <v>18.875</v>
      </c>
      <c r="Y30" s="84">
        <f t="shared" si="11"/>
        <v>0.606425702811245</v>
      </c>
      <c r="Z30" s="100">
        <f>Math!$M$35</f>
        <v>1.75</v>
      </c>
      <c r="AA30" s="84">
        <f t="shared" si="12"/>
        <v>0.05622489959839357</v>
      </c>
      <c r="AB30" s="98">
        <f>Math!$M$36</f>
        <v>0</v>
      </c>
      <c r="AC30" s="84">
        <f t="shared" si="13"/>
        <v>0</v>
      </c>
      <c r="AD30" s="119">
        <f>Math!$M$44</f>
        <v>1222.9076305220883</v>
      </c>
    </row>
    <row r="31" spans="1:30" ht="11.25">
      <c r="A31" t="s">
        <v>205</v>
      </c>
      <c r="B31" s="105">
        <f>Management!$G$33</f>
        <v>5.9</v>
      </c>
      <c r="C31" s="84">
        <f t="shared" si="0"/>
        <v>0.6020408163265306</v>
      </c>
      <c r="D31" s="92">
        <f>Management!$G$34</f>
        <v>2</v>
      </c>
      <c r="E31" s="84">
        <f t="shared" si="1"/>
        <v>0.2040816326530612</v>
      </c>
      <c r="F31" s="100">
        <f>Management!$G$35</f>
        <v>1.9</v>
      </c>
      <c r="G31" s="84">
        <f t="shared" si="2"/>
        <v>0.19387755102040813</v>
      </c>
      <c r="H31" s="98">
        <f>Management!$G$36</f>
        <v>0</v>
      </c>
      <c r="I31" s="84">
        <f t="shared" si="3"/>
        <v>0</v>
      </c>
      <c r="J31" s="117">
        <f>Management!$G$44</f>
        <v>991.0204081632652</v>
      </c>
      <c r="K31" s="84">
        <f t="shared" si="4"/>
        <v>1.051695127030404</v>
      </c>
      <c r="L31" s="105">
        <f>Management!$J$33</f>
        <v>6.6</v>
      </c>
      <c r="M31" s="84">
        <f t="shared" si="5"/>
        <v>0.6346153846153846</v>
      </c>
      <c r="N31" s="92">
        <f>Management!$J$34</f>
        <v>2</v>
      </c>
      <c r="O31" s="84">
        <f t="shared" si="6"/>
        <v>0.1923076923076923</v>
      </c>
      <c r="P31" s="100">
        <f>Management!$J$35</f>
        <v>1.8</v>
      </c>
      <c r="Q31" s="84">
        <f t="shared" si="7"/>
        <v>0.17307692307692307</v>
      </c>
      <c r="R31" s="98">
        <f>Management!$J$36</f>
        <v>0</v>
      </c>
      <c r="S31" s="84">
        <f t="shared" si="8"/>
        <v>0</v>
      </c>
      <c r="T31" s="117">
        <f>Management!$J$44</f>
        <v>942.3076923076923</v>
      </c>
      <c r="U31" s="115">
        <f t="shared" si="9"/>
        <v>0.8337310000078229</v>
      </c>
      <c r="V31" s="89">
        <f>Management!$M$33</f>
        <v>4.8</v>
      </c>
      <c r="W31" s="84">
        <f t="shared" si="10"/>
        <v>0.5517241379310345</v>
      </c>
      <c r="X31" s="92">
        <f>Management!$M$34</f>
        <v>2.3</v>
      </c>
      <c r="Y31" s="84">
        <f t="shared" si="11"/>
        <v>0.26436781609195403</v>
      </c>
      <c r="Z31" s="100">
        <f>Management!$M$35</f>
        <v>1.6</v>
      </c>
      <c r="AA31" s="84">
        <f t="shared" si="12"/>
        <v>0.18390804597701152</v>
      </c>
      <c r="AB31" s="98">
        <f>Management!$M$36</f>
        <v>0</v>
      </c>
      <c r="AC31" s="84">
        <f t="shared" si="13"/>
        <v>0</v>
      </c>
      <c r="AD31" s="119">
        <f>Management!$M$44</f>
        <v>1130.2298850574714</v>
      </c>
    </row>
    <row r="32" spans="1:30" ht="11.25">
      <c r="A32" t="s">
        <v>206</v>
      </c>
      <c r="B32" s="105">
        <f>MLL!$G$33</f>
        <v>8</v>
      </c>
      <c r="C32" s="84">
        <f t="shared" si="0"/>
        <v>0.3368421052631579</v>
      </c>
      <c r="D32" s="92">
        <f>MLL!$G$34</f>
        <v>7.5</v>
      </c>
      <c r="E32" s="84">
        <f t="shared" si="1"/>
        <v>0.3157894736842105</v>
      </c>
      <c r="F32" s="100">
        <f>MLL!$G$35</f>
        <v>8.25</v>
      </c>
      <c r="G32" s="84">
        <f t="shared" si="2"/>
        <v>0.3473684210526316</v>
      </c>
      <c r="H32" s="98">
        <f>MLL!$G$36</f>
        <v>0</v>
      </c>
      <c r="I32" s="84">
        <f t="shared" si="3"/>
        <v>0</v>
      </c>
      <c r="J32" s="117">
        <f>MLL!$G$44</f>
        <v>641.5578947368421</v>
      </c>
      <c r="K32" s="84">
        <f t="shared" si="4"/>
        <v>0.8834367971210075</v>
      </c>
      <c r="L32" s="105">
        <f>MLL!$J$33</f>
        <v>7.699999999999999</v>
      </c>
      <c r="M32" s="84">
        <f t="shared" si="5"/>
        <v>0.3318965517241379</v>
      </c>
      <c r="N32" s="92">
        <f>MLL!$J$34</f>
        <v>6.375</v>
      </c>
      <c r="O32" s="84">
        <f t="shared" si="6"/>
        <v>0.2747844827586207</v>
      </c>
      <c r="P32" s="100">
        <f>MLL!$J$35</f>
        <v>9.125</v>
      </c>
      <c r="Q32" s="84">
        <f t="shared" si="7"/>
        <v>0.3933189655172414</v>
      </c>
      <c r="R32" s="98">
        <f>MLL!$J$36</f>
        <v>0</v>
      </c>
      <c r="S32" s="84">
        <f t="shared" si="8"/>
        <v>0</v>
      </c>
      <c r="T32" s="117">
        <f>MLL!$J$44</f>
        <v>726.2068965517242</v>
      </c>
      <c r="U32" s="115">
        <f t="shared" si="9"/>
        <v>0.92907458450566</v>
      </c>
      <c r="V32" s="89">
        <f>MLL!$M$33</f>
        <v>8.200000000000001</v>
      </c>
      <c r="W32" s="84">
        <f t="shared" si="10"/>
        <v>0.38006952491309387</v>
      </c>
      <c r="X32" s="92">
        <f>MLL!$M$34</f>
        <v>6.25</v>
      </c>
      <c r="Y32" s="84">
        <f t="shared" si="11"/>
        <v>0.2896871378910776</v>
      </c>
      <c r="Z32" s="100">
        <f>MLL!$M$35</f>
        <v>7.125</v>
      </c>
      <c r="AA32" s="84">
        <f t="shared" si="12"/>
        <v>0.33024333719582843</v>
      </c>
      <c r="AB32" s="98">
        <f>MLL!$M$36</f>
        <v>0</v>
      </c>
      <c r="AC32" s="84">
        <f t="shared" si="13"/>
        <v>0</v>
      </c>
      <c r="AD32" s="119">
        <f>MLL!$M$44</f>
        <v>781.6454229432212</v>
      </c>
    </row>
    <row r="33" spans="1:30" ht="11.25">
      <c r="A33" t="s">
        <v>207</v>
      </c>
      <c r="B33" s="105">
        <f>MLLOnly!$G$33</f>
        <v>4.7</v>
      </c>
      <c r="C33" s="84">
        <f t="shared" si="0"/>
        <v>0.3042071197411004</v>
      </c>
      <c r="D33" s="92">
        <f>MLLOnly!$G$34</f>
        <v>5</v>
      </c>
      <c r="E33" s="84">
        <f t="shared" si="1"/>
        <v>0.3236245954692557</v>
      </c>
      <c r="F33" s="100">
        <f>MLLOnly!$G$35</f>
        <v>5.75</v>
      </c>
      <c r="G33" s="84">
        <f t="shared" si="2"/>
        <v>0.37216828478964403</v>
      </c>
      <c r="H33" s="98">
        <f>MLLOnly!$G$36</f>
        <v>0</v>
      </c>
      <c r="I33" s="84">
        <f t="shared" si="3"/>
        <v>0</v>
      </c>
      <c r="J33" s="117">
        <f>MLLOnly!$G$44</f>
        <v>565.5016181229773</v>
      </c>
      <c r="K33" s="84">
        <f t="shared" si="4"/>
        <v>0.9236172326888535</v>
      </c>
      <c r="L33" s="105">
        <f>MLLOnly!$J$33</f>
        <v>3.8999999999999995</v>
      </c>
      <c r="M33" s="84">
        <f t="shared" si="5"/>
        <v>0.24920127795527156</v>
      </c>
      <c r="N33" s="92">
        <f>MLLOnly!$J$34</f>
        <v>5.125</v>
      </c>
      <c r="O33" s="84">
        <f t="shared" si="6"/>
        <v>0.3274760383386582</v>
      </c>
      <c r="P33" s="100">
        <f>MLLOnly!$J$35</f>
        <v>6.625</v>
      </c>
      <c r="Q33" s="84">
        <f t="shared" si="7"/>
        <v>0.42332268370607035</v>
      </c>
      <c r="R33" s="98">
        <f>MLLOnly!$J$36</f>
        <v>0</v>
      </c>
      <c r="S33" s="84">
        <f t="shared" si="8"/>
        <v>0</v>
      </c>
      <c r="T33" s="117">
        <f>MLLOnly!$J$44</f>
        <v>612.2683706070288</v>
      </c>
      <c r="U33" s="115">
        <f t="shared" si="9"/>
        <v>0.9881169367765902</v>
      </c>
      <c r="V33" s="89">
        <f>MLLOnly!$M$33</f>
        <v>5.300000000000001</v>
      </c>
      <c r="W33" s="84">
        <f t="shared" si="10"/>
        <v>0.3551088777219431</v>
      </c>
      <c r="X33" s="92">
        <f>MLLOnly!$M$34</f>
        <v>5</v>
      </c>
      <c r="Y33" s="84">
        <f t="shared" si="11"/>
        <v>0.3350083752093802</v>
      </c>
      <c r="Z33" s="100">
        <f>MLLOnly!$M$35</f>
        <v>4.625</v>
      </c>
      <c r="AA33" s="84">
        <f t="shared" si="12"/>
        <v>0.3098827470686767</v>
      </c>
      <c r="AB33" s="98">
        <f>MLLOnly!$M$36</f>
        <v>0</v>
      </c>
      <c r="AC33" s="84">
        <f t="shared" si="13"/>
        <v>0</v>
      </c>
      <c r="AD33" s="119">
        <f>MLLOnly!$M$44</f>
        <v>619.6314907872696</v>
      </c>
    </row>
    <row r="34" spans="1:30" ht="11.25">
      <c r="A34" t="s">
        <v>208</v>
      </c>
      <c r="B34" s="105">
        <f>PHIL!$G$33</f>
        <v>3.3</v>
      </c>
      <c r="C34" s="84">
        <f t="shared" si="0"/>
        <v>0.3975903614457831</v>
      </c>
      <c r="D34" s="92">
        <f>PHIL!$G$34</f>
        <v>2.5</v>
      </c>
      <c r="E34" s="84">
        <f t="shared" si="1"/>
        <v>0.3012048192771084</v>
      </c>
      <c r="F34" s="100">
        <f>PHIL!$G$35</f>
        <v>2.5</v>
      </c>
      <c r="G34" s="84">
        <f t="shared" si="2"/>
        <v>0.3012048192771084</v>
      </c>
      <c r="H34" s="98">
        <f>PHIL!$G$36</f>
        <v>0</v>
      </c>
      <c r="I34" s="84">
        <f t="shared" si="3"/>
        <v>0</v>
      </c>
      <c r="J34" s="117">
        <f>PHIL!$G$44</f>
        <v>783.1325301204819</v>
      </c>
      <c r="K34" s="84">
        <f t="shared" si="4"/>
        <v>0.8137421693379628</v>
      </c>
      <c r="L34" s="105">
        <f>PHIL!$J$33</f>
        <v>3.8</v>
      </c>
      <c r="M34" s="84">
        <f t="shared" si="5"/>
        <v>0.5033112582781457</v>
      </c>
      <c r="N34" s="92">
        <f>PHIL!$J$34</f>
        <v>1.25</v>
      </c>
      <c r="O34" s="84">
        <f t="shared" si="6"/>
        <v>0.16556291390728478</v>
      </c>
      <c r="P34" s="100">
        <f>PHIL!$J$35</f>
        <v>2.5</v>
      </c>
      <c r="Q34" s="84">
        <f t="shared" si="7"/>
        <v>0.33112582781456956</v>
      </c>
      <c r="R34" s="98">
        <f>PHIL!$J$36</f>
        <v>0</v>
      </c>
      <c r="S34" s="84">
        <f t="shared" si="8"/>
        <v>0</v>
      </c>
      <c r="T34" s="117">
        <f>PHIL!$J$44</f>
        <v>962.384105960265</v>
      </c>
      <c r="U34" s="115">
        <f t="shared" si="9"/>
        <v>0.8403170042851578</v>
      </c>
      <c r="V34" s="89">
        <f>PHIL!$M$33</f>
        <v>2.9</v>
      </c>
      <c r="W34" s="84">
        <f t="shared" si="10"/>
        <v>0.43609022556390975</v>
      </c>
      <c r="X34" s="92">
        <f>PHIL!$M$34</f>
        <v>1.25</v>
      </c>
      <c r="Y34" s="84">
        <f t="shared" si="11"/>
        <v>0.18796992481203006</v>
      </c>
      <c r="Z34" s="100">
        <f>PHIL!$M$35</f>
        <v>2.5</v>
      </c>
      <c r="AA34" s="84">
        <f t="shared" si="12"/>
        <v>0.37593984962406013</v>
      </c>
      <c r="AB34" s="98">
        <f>PHIL!$M$36</f>
        <v>0</v>
      </c>
      <c r="AC34" s="84">
        <f t="shared" si="13"/>
        <v>0</v>
      </c>
      <c r="AD34" s="119">
        <f>PHIL!$M$44</f>
        <v>1145.2631578947369</v>
      </c>
    </row>
    <row r="35" spans="1:30" ht="11.25">
      <c r="A35" t="s">
        <v>162</v>
      </c>
      <c r="B35" s="105">
        <f>Music!$G$33</f>
        <v>6.6</v>
      </c>
      <c r="C35" s="84">
        <f t="shared" si="0"/>
        <v>0.2424242424242424</v>
      </c>
      <c r="D35" s="92">
        <f>Music!$G$34</f>
        <v>8.375</v>
      </c>
      <c r="E35" s="84">
        <f t="shared" si="1"/>
        <v>0.30762167125803486</v>
      </c>
      <c r="F35" s="100">
        <f>Music!$G$35</f>
        <v>11.875</v>
      </c>
      <c r="G35" s="84">
        <f t="shared" si="2"/>
        <v>0.4361799816345271</v>
      </c>
      <c r="H35" s="98">
        <f>Music!$G$36</f>
        <v>0.375</v>
      </c>
      <c r="I35" s="84">
        <f t="shared" si="3"/>
        <v>0.013774104683195591</v>
      </c>
      <c r="J35" s="117">
        <f>Music!$G$44</f>
        <v>252.81910009182735</v>
      </c>
      <c r="K35" s="84">
        <f t="shared" si="4"/>
        <v>0.9850744208482988</v>
      </c>
      <c r="L35" s="105">
        <f>Music!$J$33</f>
        <v>6.5</v>
      </c>
      <c r="M35" s="84">
        <f t="shared" si="5"/>
        <v>0.2639593908629442</v>
      </c>
      <c r="N35" s="92">
        <f>Music!$J$34</f>
        <v>7.249999999999999</v>
      </c>
      <c r="O35" s="84">
        <f t="shared" si="6"/>
        <v>0.2944162436548223</v>
      </c>
      <c r="P35" s="100">
        <f>Music!$J$35</f>
        <v>10.375</v>
      </c>
      <c r="Q35" s="84">
        <f t="shared" si="7"/>
        <v>0.4213197969543147</v>
      </c>
      <c r="R35" s="98">
        <f>Music!$J$36</f>
        <v>0.5</v>
      </c>
      <c r="S35" s="84">
        <f t="shared" si="8"/>
        <v>0.02030456852791878</v>
      </c>
      <c r="T35" s="117">
        <f>Music!$J$44</f>
        <v>256.6497461928934</v>
      </c>
      <c r="U35" s="115">
        <f t="shared" si="9"/>
        <v>1.021878195362014</v>
      </c>
      <c r="V35" s="89">
        <f>Music!$M$33</f>
        <v>7.5</v>
      </c>
      <c r="W35" s="84">
        <f t="shared" si="10"/>
        <v>0.28169014084507044</v>
      </c>
      <c r="X35" s="92">
        <f>Music!$M$34</f>
        <v>7.75</v>
      </c>
      <c r="Y35" s="84">
        <f t="shared" si="11"/>
        <v>0.29107981220657275</v>
      </c>
      <c r="Z35" s="100">
        <f>Music!$M$35</f>
        <v>11.125</v>
      </c>
      <c r="AA35" s="84">
        <f t="shared" si="12"/>
        <v>0.41784037558685444</v>
      </c>
      <c r="AB35" s="98">
        <f>Music!$M$36</f>
        <v>0.25</v>
      </c>
      <c r="AC35" s="84">
        <f t="shared" si="13"/>
        <v>0.009389671361502348</v>
      </c>
      <c r="AD35" s="119">
        <f>Music!$M$44</f>
        <v>251.1549295774648</v>
      </c>
    </row>
    <row r="36" spans="1:30" ht="11.25">
      <c r="A36" t="s">
        <v>168</v>
      </c>
      <c r="B36" s="105">
        <f>Physics!$G$33</f>
        <v>3.1</v>
      </c>
      <c r="C36" s="84">
        <f t="shared" si="0"/>
        <v>0.607843137254902</v>
      </c>
      <c r="D36" s="92">
        <f>Physics!$G$34</f>
        <v>2</v>
      </c>
      <c r="E36" s="84">
        <f t="shared" si="1"/>
        <v>0.3921568627450981</v>
      </c>
      <c r="F36" s="100">
        <f>Physics!$G$35</f>
        <v>0</v>
      </c>
      <c r="G36" s="84">
        <f t="shared" si="2"/>
        <v>0</v>
      </c>
      <c r="H36" s="98">
        <f>Physics!$G$36</f>
        <v>0</v>
      </c>
      <c r="I36" s="84">
        <f t="shared" si="3"/>
        <v>0</v>
      </c>
      <c r="J36" s="117">
        <f>Physics!$G$44</f>
        <v>1001.372549019608</v>
      </c>
      <c r="K36" s="84">
        <f t="shared" si="4"/>
        <v>0.8987135307775551</v>
      </c>
      <c r="L36" s="105">
        <f>Physics!$J$33</f>
        <v>2.9</v>
      </c>
      <c r="M36" s="84">
        <f t="shared" si="5"/>
        <v>0.5771144278606964</v>
      </c>
      <c r="N36" s="92">
        <f>Physics!$J$34</f>
        <v>2.125</v>
      </c>
      <c r="O36" s="84">
        <f t="shared" si="6"/>
        <v>0.42288557213930345</v>
      </c>
      <c r="P36" s="100">
        <f>Physics!$J$35</f>
        <v>0</v>
      </c>
      <c r="Q36" s="84">
        <f t="shared" si="7"/>
        <v>0</v>
      </c>
      <c r="R36" s="98">
        <f>Physics!$J$36</f>
        <v>0</v>
      </c>
      <c r="S36" s="84">
        <f t="shared" si="8"/>
        <v>0</v>
      </c>
      <c r="T36" s="117">
        <f>Physics!$J$44</f>
        <v>1114.2288557213928</v>
      </c>
      <c r="U36" s="115">
        <f t="shared" si="9"/>
        <v>1.0553832445122262</v>
      </c>
      <c r="V36" s="89">
        <f>Physics!$M$33</f>
        <v>2.7</v>
      </c>
      <c r="W36" s="84">
        <f t="shared" si="10"/>
        <v>0.5454545454545455</v>
      </c>
      <c r="X36" s="92">
        <f>Physics!$M$34</f>
        <v>2</v>
      </c>
      <c r="Y36" s="84">
        <f t="shared" si="11"/>
        <v>0.40404040404040403</v>
      </c>
      <c r="Z36" s="100">
        <f>Physics!$M$35</f>
        <v>0.25</v>
      </c>
      <c r="AA36" s="84">
        <f t="shared" si="12"/>
        <v>0.050505050505050504</v>
      </c>
      <c r="AB36" s="98">
        <f>Physics!$M$36</f>
        <v>0</v>
      </c>
      <c r="AC36" s="84">
        <f t="shared" si="13"/>
        <v>0</v>
      </c>
      <c r="AD36" s="119">
        <f>Physics!$M$44</f>
        <v>1055.7575757575758</v>
      </c>
    </row>
    <row r="37" spans="1:30" ht="11.25">
      <c r="A37" t="s">
        <v>209</v>
      </c>
      <c r="B37" s="105">
        <f>POLIIAPADM!$G$33</f>
        <v>6.6</v>
      </c>
      <c r="C37" s="84">
        <f t="shared" si="0"/>
        <v>0.8275862068965517</v>
      </c>
      <c r="D37" s="92">
        <f>POLIIAPADM!$G$34</f>
        <v>1.25</v>
      </c>
      <c r="E37" s="84">
        <f t="shared" si="1"/>
        <v>0.15673981191222572</v>
      </c>
      <c r="F37" s="100">
        <f>POLIIAPADM!$G$35</f>
        <v>0.125</v>
      </c>
      <c r="G37" s="84">
        <f t="shared" si="2"/>
        <v>0.015673981191222573</v>
      </c>
      <c r="H37" s="98">
        <f>POLIIAPADM!$G$36</f>
        <v>0</v>
      </c>
      <c r="I37" s="84">
        <f t="shared" si="3"/>
        <v>0</v>
      </c>
      <c r="J37" s="117">
        <f>POLIIAPADM!$G$44</f>
        <v>1238.369905956113</v>
      </c>
      <c r="K37" s="84">
        <f t="shared" si="4"/>
        <v>1.1330008288711007</v>
      </c>
      <c r="L37" s="105">
        <f>POLIIAPADM!$J$33</f>
        <v>6.3</v>
      </c>
      <c r="M37" s="84">
        <f t="shared" si="5"/>
        <v>0.7</v>
      </c>
      <c r="N37" s="92">
        <f>POLIIAPADM!$J$34</f>
        <v>2.7</v>
      </c>
      <c r="O37" s="84">
        <f t="shared" si="6"/>
        <v>0.30000000000000004</v>
      </c>
      <c r="P37" s="100">
        <f>POLIIAPADM!$J$35</f>
        <v>0</v>
      </c>
      <c r="Q37" s="84">
        <f t="shared" si="7"/>
        <v>0</v>
      </c>
      <c r="R37" s="98">
        <f>POLIIAPADM!$J$36</f>
        <v>0</v>
      </c>
      <c r="S37" s="84">
        <f t="shared" si="8"/>
        <v>0</v>
      </c>
      <c r="T37" s="117">
        <f>POLIIAPADM!$J$44</f>
        <v>1093</v>
      </c>
      <c r="U37" s="115">
        <f t="shared" si="9"/>
        <v>1.009935631229236</v>
      </c>
      <c r="V37" s="89">
        <f>POLIIAPADM!$M$33</f>
        <v>6.4</v>
      </c>
      <c r="W37" s="84">
        <f t="shared" si="10"/>
        <v>0.7191011235955056</v>
      </c>
      <c r="X37" s="92">
        <f>POLIIAPADM!$M$34</f>
        <v>2.375</v>
      </c>
      <c r="Y37" s="84">
        <f t="shared" si="11"/>
        <v>0.26685393258426965</v>
      </c>
      <c r="Z37" s="100">
        <f>POLIIAPADM!$M$35</f>
        <v>0.125</v>
      </c>
      <c r="AA37" s="84">
        <f t="shared" si="12"/>
        <v>0.014044943820224719</v>
      </c>
      <c r="AB37" s="98">
        <f>POLIIAPADM!$M$36</f>
        <v>0</v>
      </c>
      <c r="AC37" s="84">
        <f t="shared" si="13"/>
        <v>0</v>
      </c>
      <c r="AD37" s="119">
        <f>POLIIAPADM!$M$44</f>
        <v>1082.2471910112358</v>
      </c>
    </row>
    <row r="38" spans="1:30" ht="11.25">
      <c r="A38" t="s">
        <v>170</v>
      </c>
      <c r="B38" s="105">
        <f>PSYC!$G$33</f>
        <v>5.9</v>
      </c>
      <c r="C38" s="84">
        <f t="shared" si="0"/>
        <v>0.6020408163265306</v>
      </c>
      <c r="D38" s="92">
        <f>PSYC!$G$34</f>
        <v>2</v>
      </c>
      <c r="E38" s="84">
        <f t="shared" si="1"/>
        <v>0.2040816326530612</v>
      </c>
      <c r="F38" s="100">
        <f>PSYC!$G$35</f>
        <v>1.9</v>
      </c>
      <c r="G38" s="84">
        <f t="shared" si="2"/>
        <v>0.19387755102040813</v>
      </c>
      <c r="H38" s="98">
        <f>PSYC!$G$36</f>
        <v>0</v>
      </c>
      <c r="I38" s="84">
        <f t="shared" si="3"/>
        <v>0</v>
      </c>
      <c r="J38" s="117">
        <f>PSYC!$G$44</f>
        <v>3353.3673469387754</v>
      </c>
      <c r="K38" s="84">
        <f t="shared" si="4"/>
        <v>1.1771948011171256</v>
      </c>
      <c r="L38" s="105">
        <f>PSYC!$J$33</f>
        <v>7.7</v>
      </c>
      <c r="M38" s="84">
        <f t="shared" si="5"/>
        <v>0.6695652173913044</v>
      </c>
      <c r="N38" s="92">
        <f>PSYC!$J$34</f>
        <v>2</v>
      </c>
      <c r="O38" s="84">
        <f t="shared" si="6"/>
        <v>0.17391304347826086</v>
      </c>
      <c r="P38" s="100">
        <f>PSYC!$J$35</f>
        <v>1.8</v>
      </c>
      <c r="Q38" s="84">
        <f t="shared" si="7"/>
        <v>0.1565217391304348</v>
      </c>
      <c r="R38" s="98">
        <f>PSYC!$J$36</f>
        <v>0</v>
      </c>
      <c r="S38" s="84">
        <f t="shared" si="8"/>
        <v>0</v>
      </c>
      <c r="T38" s="117">
        <f>PSYC!$J$44</f>
        <v>2848.608695652174</v>
      </c>
      <c r="U38" s="115">
        <f t="shared" si="9"/>
        <v>0.8061695540909359</v>
      </c>
      <c r="V38" s="89">
        <f>PSYC!$M$33</f>
        <v>5.3</v>
      </c>
      <c r="W38" s="84">
        <f t="shared" si="10"/>
        <v>0.5638297872340425</v>
      </c>
      <c r="X38" s="92">
        <f>PSYC!$M$34</f>
        <v>2.5</v>
      </c>
      <c r="Y38" s="84">
        <f t="shared" si="11"/>
        <v>0.26595744680851063</v>
      </c>
      <c r="Z38" s="100">
        <f>PSYC!$M$35</f>
        <v>1.6</v>
      </c>
      <c r="AA38" s="84">
        <f t="shared" si="12"/>
        <v>0.1702127659574468</v>
      </c>
      <c r="AB38" s="98">
        <f>PSYC!$M$36</f>
        <v>0</v>
      </c>
      <c r="AC38" s="84">
        <f t="shared" si="13"/>
        <v>0</v>
      </c>
      <c r="AD38" s="119">
        <f>PSYC!$M$44</f>
        <v>3533.510638297872</v>
      </c>
    </row>
    <row r="39" spans="1:30" ht="11.25">
      <c r="A39" t="s">
        <v>171</v>
      </c>
      <c r="B39" s="105">
        <f>Sociology!$G$33</f>
        <v>3.9</v>
      </c>
      <c r="C39" s="84">
        <f t="shared" si="0"/>
        <v>0.6902654867256637</v>
      </c>
      <c r="D39" s="92">
        <f>Sociology!$G$34</f>
        <v>1</v>
      </c>
      <c r="E39" s="84">
        <f t="shared" si="1"/>
        <v>0.17699115044247787</v>
      </c>
      <c r="F39" s="100">
        <f>Sociology!$G$35</f>
        <v>0.75</v>
      </c>
      <c r="G39" s="84">
        <f t="shared" si="2"/>
        <v>0.1327433628318584</v>
      </c>
      <c r="H39" s="98">
        <f>Sociology!$G$36</f>
        <v>0</v>
      </c>
      <c r="I39" s="84">
        <f t="shared" si="3"/>
        <v>0</v>
      </c>
      <c r="J39" s="117">
        <f>Sociology!$G$44</f>
        <v>1257.8761061946902</v>
      </c>
      <c r="K39" s="84">
        <f t="shared" si="4"/>
        <v>0.8311308618874986</v>
      </c>
      <c r="L39" s="105">
        <f>Sociology!$J$33</f>
        <v>3.4</v>
      </c>
      <c r="M39" s="84">
        <f t="shared" si="5"/>
        <v>0.6017699115044247</v>
      </c>
      <c r="N39" s="92">
        <f>Sociology!$J$34</f>
        <v>1</v>
      </c>
      <c r="O39" s="84">
        <f t="shared" si="6"/>
        <v>0.17699115044247787</v>
      </c>
      <c r="P39" s="100">
        <f>Sociology!$J$35</f>
        <v>1.25</v>
      </c>
      <c r="Q39" s="84">
        <f t="shared" si="7"/>
        <v>0.22123893805309733</v>
      </c>
      <c r="R39" s="98">
        <f>Sociology!$J$36</f>
        <v>0</v>
      </c>
      <c r="S39" s="84">
        <f t="shared" si="8"/>
        <v>0</v>
      </c>
      <c r="T39" s="117">
        <f>Sociology!$J$44</f>
        <v>1513.4513274336282</v>
      </c>
      <c r="U39" s="115">
        <f t="shared" si="9"/>
        <v>1.105110777921265</v>
      </c>
      <c r="V39" s="89">
        <f>Sociology!$M$33</f>
        <v>3.9</v>
      </c>
      <c r="W39" s="84">
        <f t="shared" si="10"/>
        <v>0.5977011494252873</v>
      </c>
      <c r="X39" s="92">
        <f>Sociology!$M$34</f>
        <v>1</v>
      </c>
      <c r="Y39" s="84">
        <f t="shared" si="11"/>
        <v>0.1532567049808429</v>
      </c>
      <c r="Z39" s="100">
        <f>Sociology!$M$35</f>
        <v>1.6250000000000002</v>
      </c>
      <c r="AA39" s="84">
        <f t="shared" si="12"/>
        <v>0.24904214559386975</v>
      </c>
      <c r="AB39" s="98">
        <f>Sociology!$M$36</f>
        <v>0</v>
      </c>
      <c r="AC39" s="84">
        <f t="shared" si="13"/>
        <v>0</v>
      </c>
      <c r="AD39" s="119">
        <f>Sociology!$M$44</f>
        <v>1369.5019157088122</v>
      </c>
    </row>
    <row r="40" spans="1:30" ht="11.25">
      <c r="A40" t="s">
        <v>210</v>
      </c>
      <c r="B40" s="105">
        <f>TCOM!$G$33</f>
        <v>1.7</v>
      </c>
      <c r="C40" s="84">
        <f t="shared" si="0"/>
        <v>0.6296296296296295</v>
      </c>
      <c r="D40" s="92">
        <f>TCOM!$G$34</f>
        <v>0.875</v>
      </c>
      <c r="E40" s="84">
        <f t="shared" si="1"/>
        <v>0.32407407407407407</v>
      </c>
      <c r="F40" s="100">
        <f>TCOM!$G$35</f>
        <v>0</v>
      </c>
      <c r="G40" s="84">
        <f t="shared" si="2"/>
        <v>0</v>
      </c>
      <c r="H40" s="98">
        <f>TCOM!$G$36</f>
        <v>0.125</v>
      </c>
      <c r="I40" s="84">
        <f t="shared" si="3"/>
        <v>0.046296296296296294</v>
      </c>
      <c r="J40" s="117">
        <f>TCOM!$G$44</f>
        <v>566.6666666666666</v>
      </c>
      <c r="K40" s="84">
        <f t="shared" si="4"/>
        <v>1.175064599483204</v>
      </c>
      <c r="L40" s="105">
        <f>TCOM!$J$33</f>
        <v>1.8</v>
      </c>
      <c r="M40" s="84">
        <f t="shared" si="5"/>
        <v>0.6728971962616823</v>
      </c>
      <c r="N40" s="92">
        <f>TCOM!$J$34</f>
        <v>0.375</v>
      </c>
      <c r="O40" s="84">
        <f t="shared" si="6"/>
        <v>0.14018691588785048</v>
      </c>
      <c r="P40" s="100">
        <f>TCOM!$J$35</f>
        <v>0.125</v>
      </c>
      <c r="Q40" s="84">
        <f t="shared" si="7"/>
        <v>0.04672897196261683</v>
      </c>
      <c r="R40" s="98">
        <f>TCOM!$J$36</f>
        <v>0.375</v>
      </c>
      <c r="S40" s="84">
        <f t="shared" si="8"/>
        <v>0.14018691588785048</v>
      </c>
      <c r="T40" s="117">
        <f>TCOM!$J$44</f>
        <v>482.24299065420564</v>
      </c>
      <c r="U40" s="115">
        <f t="shared" si="9"/>
        <v>0.8386834620073141</v>
      </c>
      <c r="V40" s="89">
        <f>TCOM!$M$33</f>
        <v>1.5</v>
      </c>
      <c r="W40" s="84">
        <f t="shared" si="10"/>
        <v>0.75</v>
      </c>
      <c r="X40" s="92">
        <f>TCOM!$M$34</f>
        <v>0.125</v>
      </c>
      <c r="Y40" s="84">
        <f t="shared" si="11"/>
        <v>0.0625</v>
      </c>
      <c r="Z40" s="100">
        <f>TCOM!$M$35</f>
        <v>0</v>
      </c>
      <c r="AA40" s="84">
        <f t="shared" si="12"/>
        <v>0</v>
      </c>
      <c r="AB40" s="98">
        <f>TCOM!$M$36</f>
        <v>0.375</v>
      </c>
      <c r="AC40" s="84">
        <f t="shared" si="13"/>
        <v>0.1875</v>
      </c>
      <c r="AD40" s="119">
        <f>TCOM!$M$44</f>
        <v>575</v>
      </c>
    </row>
    <row r="41" spans="1:30" ht="11.25">
      <c r="A41" t="s">
        <v>446</v>
      </c>
      <c r="B41" s="105">
        <f>Theatre!$G$33</f>
        <v>0.7</v>
      </c>
      <c r="C41" s="84">
        <f aca="true" t="shared" si="14" ref="C41">(B41/(B41+D41+F41+H41))</f>
        <v>0.18421052631578946</v>
      </c>
      <c r="D41" s="92">
        <f>Theatre!$G$34</f>
        <v>3.1</v>
      </c>
      <c r="E41" s="84">
        <f aca="true" t="shared" si="15" ref="E41">(D41/(B41+D41+F41+H41))</f>
        <v>0.8157894736842106</v>
      </c>
      <c r="F41" s="100">
        <f>Theatre!$G$35</f>
        <v>0</v>
      </c>
      <c r="G41" s="84">
        <f aca="true" t="shared" si="16" ref="G41">(F41/(B41+D41+F41+H41))</f>
        <v>0</v>
      </c>
      <c r="H41" s="98">
        <f>Theatre!$G$36</f>
        <v>0</v>
      </c>
      <c r="I41" s="84">
        <f aca="true" t="shared" si="17" ref="I41">(H41/(B41+D41+F41+H41))</f>
        <v>0</v>
      </c>
      <c r="J41" s="117">
        <f>Theatre!$G$44</f>
        <v>620.5263157894738</v>
      </c>
      <c r="K41" s="84">
        <f aca="true" t="shared" si="18" ref="K41">J41/T41</f>
        <v>1.1410435228146083</v>
      </c>
      <c r="L41" s="105">
        <f>Theatre!$J$33</f>
        <v>0.5</v>
      </c>
      <c r="M41" s="84">
        <f aca="true" t="shared" si="19" ref="M41">(L41/(L41+N41+P41+R41))</f>
        <v>0.14705882352941177</v>
      </c>
      <c r="N41" s="92">
        <f>Theatre!$J$34</f>
        <v>2.9</v>
      </c>
      <c r="O41" s="84">
        <f aca="true" t="shared" si="20" ref="O41">(N41/(L41+N41+P41+R41))</f>
        <v>0.8529411764705882</v>
      </c>
      <c r="P41" s="100">
        <f>Theatre!$J$35</f>
        <v>0</v>
      </c>
      <c r="Q41" s="84">
        <f aca="true" t="shared" si="21" ref="Q41">(P41/(L41+N41+P41+R41))</f>
        <v>0</v>
      </c>
      <c r="R41" s="98">
        <f>Theatre!$J$36</f>
        <v>0</v>
      </c>
      <c r="S41" s="84">
        <f aca="true" t="shared" si="22" ref="S41">(R41/(L41+N41+P41+R41))</f>
        <v>0</v>
      </c>
      <c r="T41" s="117">
        <f>Theatre!$J$44</f>
        <v>543.8235294117648</v>
      </c>
      <c r="U41" s="115">
        <f aca="true" t="shared" si="23" ref="U41">T41/AD41</f>
        <v>1.0060455837011062</v>
      </c>
      <c r="V41" s="89">
        <f>Theatre!$M$33</f>
        <v>0.8</v>
      </c>
      <c r="W41" s="84">
        <f aca="true" t="shared" si="24" ref="W41">(V41/(V41+X41+Z41+AB41))</f>
        <v>0.22222222222222227</v>
      </c>
      <c r="X41" s="92">
        <f>Theatre!$M$34</f>
        <v>2.5</v>
      </c>
      <c r="Y41" s="84">
        <f aca="true" t="shared" si="25" ref="Y41">(X41/(V41+X41+Z41+AB41))</f>
        <v>0.6944444444444445</v>
      </c>
      <c r="Z41" s="100">
        <f>Theatre!$M$35</f>
        <v>0.3</v>
      </c>
      <c r="AA41" s="84">
        <f aca="true" t="shared" si="26" ref="AA41">(Z41/(V41+X41+Z41+AB41))</f>
        <v>0.08333333333333334</v>
      </c>
      <c r="AB41" s="98">
        <f>Theatre!$M$36</f>
        <v>0</v>
      </c>
      <c r="AC41" s="84">
        <f aca="true" t="shared" si="27" ref="AC41">(AB41/(V41+X41+Z41+AB41))</f>
        <v>0</v>
      </c>
      <c r="AD41" s="119">
        <f>Theatre!$M$44</f>
        <v>540.5555555555557</v>
      </c>
    </row>
    <row r="42" spans="1:30" ht="11.25">
      <c r="A42" t="s">
        <v>177</v>
      </c>
      <c r="B42" s="105">
        <f>WAMS!$G$33</f>
        <v>11.8</v>
      </c>
      <c r="C42" s="84">
        <f t="shared" si="0"/>
        <v>0.627659574468085</v>
      </c>
      <c r="D42" s="92">
        <f>WAMS!$G$34</f>
        <v>3.8</v>
      </c>
      <c r="E42" s="84">
        <f t="shared" si="1"/>
        <v>0.20212765957446802</v>
      </c>
      <c r="F42" s="100">
        <f>WAMS!$G$35</f>
        <v>2.6</v>
      </c>
      <c r="G42" s="84">
        <f t="shared" si="2"/>
        <v>0.1382978723404255</v>
      </c>
      <c r="H42" s="98">
        <f>WAMS!$G$36</f>
        <v>0.6</v>
      </c>
      <c r="I42" s="84">
        <f t="shared" si="3"/>
        <v>0.03191489361702127</v>
      </c>
      <c r="J42" s="117">
        <f>WAMS!$G$44</f>
        <v>1386.010638297872</v>
      </c>
      <c r="K42" s="84">
        <f t="shared" si="4"/>
        <v>0.9899354460548898</v>
      </c>
      <c r="L42" s="105">
        <f>WAMS!$J$33</f>
        <v>10.8</v>
      </c>
      <c r="M42" s="84">
        <f t="shared" si="5"/>
        <v>0.5510204081632654</v>
      </c>
      <c r="N42" s="92">
        <f>WAMS!$J$34</f>
        <v>4.6</v>
      </c>
      <c r="O42" s="84">
        <f t="shared" si="6"/>
        <v>0.23469387755102042</v>
      </c>
      <c r="P42" s="100">
        <f>WAMS!$J$35</f>
        <v>3.3</v>
      </c>
      <c r="Q42" s="84">
        <f t="shared" si="7"/>
        <v>0.16836734693877553</v>
      </c>
      <c r="R42" s="98">
        <f>WAMS!$J$36</f>
        <v>0.9</v>
      </c>
      <c r="S42" s="84">
        <f t="shared" si="8"/>
        <v>0.045918367346938785</v>
      </c>
      <c r="T42" s="117">
        <f>WAMS!$J$44</f>
        <v>1400.1020408163267</v>
      </c>
      <c r="U42" s="115">
        <f t="shared" si="9"/>
        <v>0.9542680212761223</v>
      </c>
      <c r="V42" s="89">
        <f>WAMS!$M$33</f>
        <v>12.1</v>
      </c>
      <c r="W42" s="84">
        <f t="shared" si="10"/>
        <v>0.605</v>
      </c>
      <c r="X42" s="92">
        <f>WAMS!$M$34</f>
        <v>3.6</v>
      </c>
      <c r="Y42" s="84">
        <f t="shared" si="11"/>
        <v>0.18</v>
      </c>
      <c r="Z42" s="100">
        <f>WAMS!$M$35</f>
        <v>3.3</v>
      </c>
      <c r="AA42" s="84">
        <f t="shared" si="12"/>
        <v>0.16499999999999998</v>
      </c>
      <c r="AB42" s="98">
        <f>WAMS!$M$36</f>
        <v>1</v>
      </c>
      <c r="AC42" s="84">
        <f t="shared" si="13"/>
        <v>0.05</v>
      </c>
      <c r="AD42" s="119">
        <f>WAMS!$M$44</f>
        <v>1467.2</v>
      </c>
    </row>
    <row r="43" spans="1:30" ht="12.75" thickBot="1">
      <c r="A43" t="s">
        <v>211</v>
      </c>
      <c r="B43" s="107">
        <f>WMST!$G$33</f>
        <v>1.2</v>
      </c>
      <c r="C43" s="85">
        <f t="shared" si="0"/>
        <v>0.5454545454545454</v>
      </c>
      <c r="D43" s="94">
        <f>WMST!$G$34</f>
        <v>1</v>
      </c>
      <c r="E43" s="85">
        <f t="shared" si="1"/>
        <v>0.45454545454545453</v>
      </c>
      <c r="F43" s="101">
        <f>WMST!$G$35</f>
        <v>0</v>
      </c>
      <c r="G43" s="85">
        <f t="shared" si="2"/>
        <v>0</v>
      </c>
      <c r="H43" s="99">
        <f>WMST!$G$36</f>
        <v>0</v>
      </c>
      <c r="I43" s="85">
        <f t="shared" si="3"/>
        <v>0</v>
      </c>
      <c r="J43" s="118">
        <f>WMST!$G$44</f>
        <v>692.2727272727273</v>
      </c>
      <c r="K43" s="85">
        <f t="shared" si="4"/>
        <v>0.8583435432492035</v>
      </c>
      <c r="L43" s="107">
        <f>WMST!$J$33</f>
        <v>0.9</v>
      </c>
      <c r="M43" s="85">
        <f t="shared" si="5"/>
        <v>0.391304347826087</v>
      </c>
      <c r="N43" s="94">
        <f>WMST!$J$34</f>
        <v>1</v>
      </c>
      <c r="O43" s="85">
        <f t="shared" si="6"/>
        <v>0.4347826086956522</v>
      </c>
      <c r="P43" s="101">
        <f>WMST!$J$35</f>
        <v>0.4</v>
      </c>
      <c r="Q43" s="85">
        <f t="shared" si="7"/>
        <v>0.1739130434782609</v>
      </c>
      <c r="R43" s="99">
        <f>WMST!$J$36</f>
        <v>0</v>
      </c>
      <c r="S43" s="85">
        <f t="shared" si="8"/>
        <v>0</v>
      </c>
      <c r="T43" s="118">
        <f>WMST!$J$44</f>
        <v>806.5217391304349</v>
      </c>
      <c r="U43" s="116">
        <f t="shared" si="9"/>
        <v>0.8733316070713967</v>
      </c>
      <c r="V43" s="114">
        <f>WMST!$M$33</f>
        <v>1</v>
      </c>
      <c r="W43" s="85">
        <f t="shared" si="10"/>
        <v>0.5</v>
      </c>
      <c r="X43" s="94">
        <f>WMST!$M$34</f>
        <v>1</v>
      </c>
      <c r="Y43" s="85">
        <f t="shared" si="11"/>
        <v>0.5</v>
      </c>
      <c r="Z43" s="101">
        <f>WMST!$M$35</f>
        <v>0</v>
      </c>
      <c r="AA43" s="85">
        <f t="shared" si="12"/>
        <v>0</v>
      </c>
      <c r="AB43" s="99">
        <f>WMST!$M$36</f>
        <v>0</v>
      </c>
      <c r="AC43" s="85">
        <f t="shared" si="13"/>
        <v>0</v>
      </c>
      <c r="AD43" s="120">
        <f>WMST!$M$44</f>
        <v>923.5</v>
      </c>
    </row>
    <row r="45" spans="2:6" ht="11.25">
      <c r="B45" s="277">
        <f>SUM(B4:B43)</f>
        <v>189.6</v>
      </c>
      <c r="D45" s="277">
        <f>SUM(D4:D43)</f>
        <v>123.12499999999999</v>
      </c>
      <c r="F45" s="277">
        <f>SUM(F4:F43)</f>
        <v>76.69444444444446</v>
      </c>
    </row>
  </sheetData>
  <mergeCells count="3">
    <mergeCell ref="B2:K2"/>
    <mergeCell ref="L2:U2"/>
    <mergeCell ref="V2:AD2"/>
  </mergeCells>
  <conditionalFormatting sqref="U4:U43">
    <cfRule type="cellIs" priority="2" dxfId="0" operator="lessThan">
      <formula>1</formula>
    </cfRule>
  </conditionalFormatting>
  <conditionalFormatting sqref="K4:K43">
    <cfRule type="cellIs" priority="1" dxfId="0" operator="lessThan">
      <formula>1</formula>
    </cfRule>
  </conditionalFormatting>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2017-11-03T21:29:07Z</dcterms:created>
  <dcterms:modified xsi:type="dcterms:W3CDTF">2020-10-01T16:01:13Z</dcterms:modified>
  <cp:category/>
  <cp:version/>
  <cp:contentType/>
  <cp:contentStatus/>
</cp:coreProperties>
</file>